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920" activeTab="1"/>
  </bookViews>
  <sheets>
    <sheet name="別紙９（第１号、第６号用）" sheetId="8" r:id="rId1"/>
    <sheet name="別紙９（第８号用）" sheetId="9" r:id="rId2"/>
  </sheets>
  <definedNames>
    <definedName name="_xlnm.Print_Area" localSheetId="0">'別紙９（第１号、第６号用）'!$A$1:$I$135</definedName>
    <definedName name="_xlnm.Print_Area" localSheetId="1">'別紙９（第８号用）'!$A$1:$I$88</definedName>
    <definedName name="第1号" localSheetId="0">'別紙９（第１号、第６号用）'!$L$10:$L$11</definedName>
    <definedName name="第1号">#REF!</definedName>
    <definedName name="第6号" localSheetId="0">'別紙９（第１号、第６号用）'!$L$13</definedName>
    <definedName name="第6号">#REF!</definedName>
  </definedNames>
  <calcPr calcId="152511"/>
</workbook>
</file>

<file path=xl/calcChain.xml><?xml version="1.0" encoding="utf-8"?>
<calcChain xmlns="http://schemas.openxmlformats.org/spreadsheetml/2006/main">
  <c r="L80" i="9" l="1"/>
  <c r="K65" i="9"/>
  <c r="K64" i="9"/>
  <c r="K66" i="8"/>
  <c r="K67" i="8"/>
  <c r="L82" i="8"/>
  <c r="L16" i="9"/>
  <c r="L14" i="9"/>
  <c r="K47" i="8"/>
  <c r="O18" i="9" l="1"/>
  <c r="L17" i="8"/>
  <c r="L15" i="8"/>
  <c r="O19" i="8" s="1"/>
  <c r="E19" i="8" l="1"/>
  <c r="E20" i="8" s="1"/>
  <c r="H59" i="8" l="1"/>
  <c r="K59" i="8" s="1"/>
  <c r="H57" i="8"/>
  <c r="K57" i="8" s="1"/>
  <c r="H58" i="8"/>
  <c r="K58" i="8" s="1"/>
  <c r="H56" i="8"/>
  <c r="E18" i="9"/>
  <c r="E19" i="9" s="1"/>
  <c r="H25" i="9"/>
  <c r="H27" i="9"/>
  <c r="H28" i="9"/>
  <c r="H29" i="9"/>
  <c r="H30" i="9"/>
  <c r="H31" i="9"/>
  <c r="H32" i="9"/>
  <c r="H33" i="9"/>
  <c r="K43" i="9"/>
  <c r="K44" i="9"/>
  <c r="K45" i="9"/>
  <c r="K63" i="9"/>
  <c r="K66" i="9"/>
  <c r="K67" i="9"/>
  <c r="K68" i="9"/>
  <c r="K69" i="9"/>
  <c r="K70" i="9"/>
  <c r="H57" i="9" l="1"/>
  <c r="K57" i="9" s="1"/>
  <c r="H55" i="9"/>
  <c r="H56" i="9"/>
  <c r="K56" i="9" s="1"/>
  <c r="K55" i="9"/>
  <c r="H54" i="9"/>
  <c r="K54" i="9" s="1"/>
  <c r="F34" i="9"/>
  <c r="F37" i="9" s="1"/>
  <c r="F35" i="9"/>
  <c r="H48" i="9"/>
  <c r="K48" i="9" s="1"/>
  <c r="H49" i="9"/>
  <c r="K49" i="9" s="1"/>
  <c r="H50" i="9"/>
  <c r="K50" i="9" s="1"/>
  <c r="H51" i="9"/>
  <c r="K51" i="9" s="1"/>
  <c r="H52" i="9"/>
  <c r="K52" i="9" s="1"/>
  <c r="H53" i="9"/>
  <c r="K53" i="9" s="1"/>
  <c r="K9" i="8"/>
  <c r="F36" i="9" l="1"/>
  <c r="L58" i="9"/>
  <c r="K72" i="8"/>
  <c r="K71" i="8"/>
  <c r="K70" i="8"/>
  <c r="K69" i="8"/>
  <c r="K68" i="8"/>
  <c r="K65" i="8"/>
  <c r="K46" i="8"/>
  <c r="K45" i="8"/>
  <c r="K44" i="8"/>
  <c r="H34" i="8"/>
  <c r="H33" i="8"/>
  <c r="H32" i="8"/>
  <c r="H31" i="8"/>
  <c r="H30" i="8"/>
  <c r="H29" i="8"/>
  <c r="H28" i="8"/>
  <c r="H26" i="8"/>
  <c r="H58" i="9" l="1"/>
  <c r="K58" i="9" s="1"/>
  <c r="L75" i="9" s="1"/>
  <c r="H55" i="8"/>
  <c r="K55" i="8" s="1"/>
  <c r="H53" i="8"/>
  <c r="H54" i="8"/>
  <c r="K54" i="8" s="1"/>
  <c r="H52" i="8"/>
  <c r="K52" i="8" s="1"/>
  <c r="H50" i="8"/>
  <c r="K50" i="8" s="1"/>
  <c r="H51" i="8"/>
  <c r="K51" i="8" s="1"/>
  <c r="K56" i="8"/>
  <c r="K53" i="8"/>
  <c r="F36" i="8"/>
  <c r="F35" i="8"/>
  <c r="F37" i="8" s="1"/>
  <c r="K75" i="9" l="1"/>
  <c r="H74" i="9" s="1"/>
  <c r="L60" i="8"/>
  <c r="F38" i="8"/>
  <c r="F84" i="9" l="1"/>
  <c r="H84" i="9" s="1"/>
  <c r="H60" i="8"/>
  <c r="K60" i="8" s="1"/>
  <c r="F85" i="9" l="1"/>
  <c r="H85" i="9" s="1"/>
  <c r="K77" i="8"/>
  <c r="L77" i="8"/>
  <c r="F88" i="8" l="1"/>
  <c r="F102" i="8"/>
  <c r="F87" i="8"/>
  <c r="F92" i="8" s="1"/>
  <c r="H76" i="8"/>
  <c r="F101" i="8"/>
  <c r="F105" i="8" s="1"/>
  <c r="F115" i="8"/>
  <c r="F116" i="8"/>
  <c r="F132" i="8"/>
  <c r="H132" i="8" s="1"/>
  <c r="F131" i="8"/>
  <c r="H131" i="8" s="1"/>
  <c r="F124" i="8" l="1"/>
  <c r="F109" i="8"/>
  <c r="H109" i="8" s="1"/>
  <c r="F104" i="8"/>
  <c r="H104" i="8" s="1"/>
  <c r="F110" i="8"/>
  <c r="H110" i="8" s="1"/>
  <c r="F120" i="8"/>
  <c r="H120" i="8" s="1"/>
  <c r="F125" i="8"/>
  <c r="H125" i="8" s="1"/>
  <c r="F119" i="8"/>
  <c r="H119" i="8" s="1"/>
  <c r="F96" i="8"/>
  <c r="H96" i="8" s="1"/>
  <c r="F91" i="8"/>
  <c r="H91" i="8" s="1"/>
  <c r="F97" i="8"/>
  <c r="H97" i="8" s="1"/>
  <c r="H124" i="8"/>
  <c r="H105" i="8"/>
  <c r="H92" i="8"/>
</calcChain>
</file>

<file path=xl/sharedStrings.xml><?xml version="1.0" encoding="utf-8"?>
<sst xmlns="http://schemas.openxmlformats.org/spreadsheetml/2006/main" count="390" uniqueCount="238">
  <si>
    <t>①</t>
  </si>
  <si>
    <t>　</t>
  </si>
  <si>
    <t>費用区分</t>
  </si>
  <si>
    <t>項目</t>
  </si>
  <si>
    <t>工事費</t>
  </si>
  <si>
    <t>④</t>
    <phoneticPr fontId="1"/>
  </si>
  <si>
    <t>注：個々の工事費目によっては、補助対象外経費が含まれる場合がある。</t>
  </si>
  <si>
    <t>　　　　　　　㉓、㉔を別紙４経費内訳に転記する。</t>
  </si>
  <si>
    <t>㉔</t>
  </si>
  <si>
    <t>補助金所要額
（定額補助対象分）</t>
  </si>
  <si>
    <t>　　　　　　　 経費内訳の所要経費（8-1）への計上額</t>
  </si>
  <si>
    <t>㉓</t>
  </si>
  <si>
    <t>補助対象経費支出予定額
（定額補助対象分）</t>
  </si>
  <si>
    <t>　　　　　　　 経費内訳の所要経費（4-1）への計上額</t>
  </si>
  <si>
    <t>　定率補助金扱いとする。</t>
  </si>
  <si>
    <t>　⑧の(工事費+据付費)÷2</t>
  </si>
  <si>
    <t>（２）工事費・据え付け費の補助率、上限、補助額の算定</t>
  </si>
  <si>
    <t>　　　　　　　㉑、㉒を別紙４経費内訳に転記する。</t>
  </si>
  <si>
    <t>㉒</t>
  </si>
  <si>
    <t>補助金所要額
（定率補助対象分）</t>
  </si>
  <si>
    <t>㉑</t>
  </si>
  <si>
    <t>補助対象経費支出予定額
（定率補助対象分）</t>
  </si>
  <si>
    <t>　Ａ≦Ｂの場合：定率補助金とみなす。</t>
    <phoneticPr fontId="1"/>
  </si>
  <si>
    <t>　　　　　　　⑲、⑳を別紙４経費内訳に転記する。</t>
  </si>
  <si>
    <t>⑳</t>
  </si>
  <si>
    <t>　　　　　　　 経費内訳の所要経費（8-2）への計上額</t>
  </si>
  <si>
    <t>⑲</t>
  </si>
  <si>
    <t>　　　　　　　 経費内訳の所要経費（4-2）への計上額</t>
  </si>
  <si>
    <t>　Ａ＞Ｂの場合：定額補助金扱いとみなす。</t>
    <phoneticPr fontId="1"/>
  </si>
  <si>
    <t>　定額補助金・定率補助金額の算定</t>
  </si>
  <si>
    <t>円　Ｂ（消費税抜きベース）</t>
  </si>
  <si>
    <t>円　Ａ（消費税抜きベース）</t>
  </si>
  <si>
    <t>　⑦の蓄電システム費÷3</t>
  </si>
  <si>
    <t>(１)蓄電システム費の補助率、上限、補助額の算定</t>
  </si>
  <si>
    <t>４－２．上記判定で「業務用産業用蓄電池」の場合</t>
  </si>
  <si>
    <t>　　　　　　　⑰、⑱を別紙４経費内訳に転記する。</t>
  </si>
  <si>
    <t>⑱</t>
  </si>
  <si>
    <t>⑰</t>
  </si>
  <si>
    <t>　　　　　　　</t>
  </si>
  <si>
    <t>　　　　　　　⑮、⑯を別紙４経費内訳に転記する。</t>
  </si>
  <si>
    <t>⑯</t>
  </si>
  <si>
    <t>⑮</t>
  </si>
  <si>
    <t>　　　　　　　⑬、⑭を別紙４経費内訳に転記する。</t>
  </si>
  <si>
    <t>⑭</t>
  </si>
  <si>
    <t>補助金所要額
（定率補助対象分）</t>
    <phoneticPr fontId="1"/>
  </si>
  <si>
    <t>⑬</t>
  </si>
  <si>
    <t>　　　　　　　⑪、⑫を別紙４経費内訳に転記する。</t>
  </si>
  <si>
    <t>⑫</t>
  </si>
  <si>
    <t>⑪</t>
  </si>
  <si>
    <t>円　Ａ（消費税抜きベース）　　　　</t>
  </si>
  <si>
    <t>４－１．上記判定で「家庭用蓄電池」の場合</t>
  </si>
  <si>
    <r>
      <t>　　</t>
    </r>
    <r>
      <rPr>
        <sz val="9"/>
        <color theme="1"/>
        <rFont val="ＭＳ Ｐゴシック"/>
        <family val="3"/>
        <charset val="128"/>
        <scheme val="minor"/>
      </rPr>
      <t>冒頭に記載の対象事業、申請団体種別、家庭用/業務用産業用に応じて、以下のとおり、自動計算される。
　　注：地方公共団体と地方公共団体以外では消費税の取扱いが異なる（地方公共団体以外の申請者については、
　　　　消費税分は補助対象外）。</t>
    </r>
  </si>
  <si>
    <t>４．蓄電システム費、工事費・据え付け費の補助率、上限算定</t>
  </si>
  <si>
    <t>不合格（この時点で算定チェック終了）</t>
    <rPh sb="6" eb="8">
      <t>ジテン</t>
    </rPh>
    <rPh sb="9" eb="11">
      <t>サンテイ</t>
    </rPh>
    <phoneticPr fontId="1"/>
  </si>
  <si>
    <t>ひとつでも×がある場合　：</t>
    <phoneticPr fontId="1"/>
  </si>
  <si>
    <t>合格。以下の「４．蓄電システム費、工事費・据え付け費の補助率、上限算定」へ進む。</t>
    <phoneticPr fontId="1"/>
  </si>
  <si>
    <t>すべての要件を満たす場合　：</t>
    <phoneticPr fontId="1"/>
  </si>
  <si>
    <t>【判定】</t>
    <rPh sb="1" eb="3">
      <t>ハンテイ</t>
    </rPh>
    <phoneticPr fontId="1"/>
  </si>
  <si>
    <r>
      <rPr>
        <b/>
        <sz val="9"/>
        <color theme="1"/>
        <rFont val="ＭＳ Ｐゴシック"/>
        <family val="3"/>
        <charset val="128"/>
        <scheme val="minor"/>
      </rPr>
      <t>【蓄電システム要件の最終判定】</t>
    </r>
    <r>
      <rPr>
        <sz val="9"/>
        <color theme="1"/>
        <rFont val="ＭＳ Ｐゴシック"/>
        <family val="3"/>
        <charset val="128"/>
        <scheme val="minor"/>
      </rPr>
      <t>（上記チェック項目でひとつでも「×」があれば、不合格（蓄電池は補助対象外）。</t>
    </r>
  </si>
  <si>
    <r>
      <t xml:space="preserve">メーカー保証およびサイクル試験による性能の双方が10年以上の蓄電システムであること。
</t>
    </r>
    <r>
      <rPr>
        <sz val="8"/>
        <color theme="1"/>
        <rFont val="ＭＳ Ｐゴシック"/>
        <family val="3"/>
        <charset val="128"/>
        <scheme val="minor"/>
      </rPr>
      <t>※蓄電システムの製造を製造事業者に委託し、自社の製品として販売する事業者も含む。
※当該機器製造事業者外の保証（販売店保証等）は含めない。
※メーカー保証期間内の補償費用は無償であることを条件とする。</t>
    </r>
    <phoneticPr fontId="1"/>
  </si>
  <si>
    <t xml:space="preserve">蓄電容量10kWh未満の蓄電池は、第三者認証機関の製品審査により、「蓄電システムの震災対策基準」の製品審査に合格したものであること。
※第三者認証機関は、電気用品安全法国内登録検査機関であること、且つ、IECEE-CB制度に基づく国内認証機関（NCB）であること。
</t>
  </si>
  <si>
    <t xml:space="preserve">蓄電システム部が、「JIS C4412-1」または 「JIS C4412-2」に準拠したものであること。
※ 「JIS C4412-2」における要求事項の解釈等は「電気用品の技術基準の解釈 別表第八」に準拠すること。
※平成28年３月末までに、平成26年度（補正）定置用リチウムイオン蓄電池導入支援事業の指定認証機関から「蓄電システムの一般及び安全要求事項」に基づく検査基準による認証がなされている場合、「JIS C4412-1」または「JIS C4412-2」と同等の規格を満足した製品であるとみなす。
</t>
  </si>
  <si>
    <t xml:space="preserve">○リチウムイオン蓄電池部の場合
　蓄電池部が、「JIS C8715-2」に準拠したものであること。
※平成28年３月末までに、平成26年度（補正）定置用リチウムイオン蓄電池導入支援事業の指定認証機関から「SBA S1101:2011（一般社団法人電池工業会発行）とその解説書」に基づく検査基準による認証がなされている場合、「「JIS C8715-2」と同等の規格を満足した製品であるとみなす。
○リチウムイオン蓄電池部以外の場合
　蓄電池部が、平成二十六年四月十四日消防庁告示第十号「蓄電池設備の基準第二の二」に記載の規格に準拠したものであること。
</t>
  </si>
  <si>
    <t>定格出力、出力可能時間、保証期間、修理保証、廃棄方法、アフターサービス等について、所定の表示がなされている蓄電システムであること。</t>
  </si>
  <si>
    <t xml:space="preserve">蓄電池部（初期実効容量1.0kWh以上）とパワーコンディショナ等の電力変換装置から構成されるシステムであり、蓄電システム本体機器を含むシステム全体を一つのパッケージとして取り扱うものであること。
※初期実効容量は、「JEM」規格で定義された容量を適用する。
※システム全体を統合して管理するための番号（以下、「パッケージ型番」という。）が付与されていること。
</t>
    <phoneticPr fontId="1"/>
  </si>
  <si>
    <t>①蓄電池パッケージ</t>
  </si>
  <si>
    <t>登録要件詳細</t>
  </si>
  <si>
    <t>業務用産業用</t>
  </si>
  <si>
    <t>15年以上</t>
  </si>
  <si>
    <t>14年</t>
  </si>
  <si>
    <t>13年</t>
  </si>
  <si>
    <t>12年</t>
  </si>
  <si>
    <t>11年</t>
  </si>
  <si>
    <t>⑨b</t>
  </si>
  <si>
    <t>10年</t>
  </si>
  <si>
    <t>家庭用</t>
  </si>
  <si>
    <t>該当</t>
    <phoneticPr fontId="1"/>
  </si>
  <si>
    <t>目標価格（蓄電システム費）</t>
    <rPh sb="5" eb="7">
      <t>チクデン</t>
    </rPh>
    <phoneticPr fontId="1"/>
  </si>
  <si>
    <t>保証年数※</t>
  </si>
  <si>
    <t>区分</t>
  </si>
  <si>
    <t>b)導入する再生可能エネルギー発電設備の出力の同等以下。</t>
  </si>
  <si>
    <t>a)再生可能エネルギー発電設備を導入する場合に限る。</t>
  </si>
  <si>
    <t>〇、×を記載</t>
    <phoneticPr fontId="1"/>
  </si>
  <si>
    <t>以下の各項目について、満たす場合は「〇」、満たさない場合は「×」を記載。
（根拠資料として、メーカー仕様書、保証書等の書類を添付のこと)</t>
  </si>
  <si>
    <t>３．蓄電システム要件のチェック</t>
  </si>
  <si>
    <t>⑨ａ</t>
  </si>
  <si>
    <t>(自動計算)</t>
  </si>
  <si>
    <r>
      <t xml:space="preserve">円／kWh、⑦÷① 
</t>
    </r>
    <r>
      <rPr>
        <sz val="8"/>
        <color theme="1"/>
        <rFont val="ＭＳ Ｐゴシック"/>
        <family val="3"/>
        <charset val="128"/>
        <scheme val="minor"/>
      </rPr>
      <t>消費税抜きベース</t>
    </r>
  </si>
  <si>
    <t>蓄電容量1kWhあたりの蓄電システム費</t>
  </si>
  <si>
    <t>⑧</t>
  </si>
  <si>
    <r>
      <t xml:space="preserve">円　
</t>
    </r>
    <r>
      <rPr>
        <sz val="8"/>
        <color theme="1"/>
        <rFont val="ＭＳ Ｐゴシック"/>
        <family val="3"/>
        <charset val="128"/>
        <scheme val="minor"/>
      </rPr>
      <t>消費税抜きベース</t>
    </r>
  </si>
  <si>
    <t>工事費・据付費</t>
  </si>
  <si>
    <t>⑦</t>
  </si>
  <si>
    <r>
      <t>円　
消費</t>
    </r>
    <r>
      <rPr>
        <sz val="8"/>
        <color theme="1"/>
        <rFont val="ＭＳ Ｐゴシック"/>
        <family val="3"/>
        <charset val="128"/>
        <scheme val="minor"/>
      </rPr>
      <t>費税抜きベース</t>
    </r>
  </si>
  <si>
    <t>蓄電システム費</t>
  </si>
  <si>
    <t>据付費</t>
  </si>
  <si>
    <r>
      <t>　　</t>
    </r>
    <r>
      <rPr>
        <b/>
        <sz val="8"/>
        <color theme="1"/>
        <rFont val="ＭＳ Ｐゴシック"/>
        <family val="3"/>
        <charset val="128"/>
        <scheme val="minor"/>
      </rPr>
      <t>工事費・据付費</t>
    </r>
    <r>
      <rPr>
        <sz val="8"/>
        <color theme="1"/>
        <rFont val="ＭＳ Ｐゴシック"/>
        <family val="3"/>
        <charset val="128"/>
        <scheme val="minor"/>
      </rPr>
      <t xml:space="preserve">
注：工事費・据付費は補助対象設備の導入に不可欠なものに限る。</t>
    </r>
  </si>
  <si>
    <t>対象電池を収納する外箱・コンテナ</t>
  </si>
  <si>
    <t>計測・表示装置</t>
  </si>
  <si>
    <r>
      <rPr>
        <b/>
        <sz val="8"/>
        <rFont val="ＭＳ Ｐゴシック"/>
        <family val="3"/>
        <charset val="128"/>
        <scheme val="minor"/>
      </rPr>
      <t>b）</t>
    </r>
    <r>
      <rPr>
        <sz val="8"/>
        <rFont val="ＭＳ Ｐゴシック"/>
        <family val="3"/>
        <charset val="128"/>
        <scheme val="minor"/>
      </rPr>
      <t xml:space="preserve">PVと共用の蓄電池制御装置(PCS、切分可の場合)
</t>
    </r>
  </si>
  <si>
    <r>
      <t>a)</t>
    </r>
    <r>
      <rPr>
        <sz val="8"/>
        <rFont val="ＭＳ Ｐゴシック"/>
        <family val="3"/>
        <charset val="128"/>
        <scheme val="minor"/>
      </rPr>
      <t xml:space="preserve">蓄電池専用制御装置(PCS)の場合
</t>
    </r>
  </si>
  <si>
    <r>
      <t xml:space="preserve">ＰＣＳ（下記 </t>
    </r>
    <r>
      <rPr>
        <b/>
        <sz val="9"/>
        <rFont val="ＭＳ Ｐゴシック"/>
        <family val="3"/>
        <charset val="128"/>
        <scheme val="minor"/>
      </rPr>
      <t>a</t>
    </r>
    <r>
      <rPr>
        <sz val="8"/>
        <rFont val="ＭＳ Ｐゴシック"/>
        <family val="3"/>
        <charset val="128"/>
        <scheme val="minor"/>
      </rPr>
      <t>～</t>
    </r>
    <r>
      <rPr>
        <b/>
        <sz val="9"/>
        <rFont val="ＭＳ Ｐゴシック"/>
        <family val="3"/>
        <charset val="128"/>
        <scheme val="minor"/>
      </rPr>
      <t>c</t>
    </r>
    <r>
      <rPr>
        <sz val="8"/>
        <rFont val="ＭＳ Ｐゴシック"/>
        <family val="3"/>
        <charset val="128"/>
        <scheme val="minor"/>
      </rPr>
      <t xml:space="preserve"> から選択し右欄に記載）</t>
    </r>
    <rPh sb="4" eb="6">
      <t>カキ</t>
    </rPh>
    <rPh sb="13" eb="15">
      <t>センタク</t>
    </rPh>
    <rPh sb="16" eb="17">
      <t>ミギ</t>
    </rPh>
    <rPh sb="17" eb="18">
      <t>ラン</t>
    </rPh>
    <rPh sb="19" eb="21">
      <t>キサイ</t>
    </rPh>
    <phoneticPr fontId="1"/>
  </si>
  <si>
    <t>蓄電池本体</t>
  </si>
  <si>
    <t>算定対象金額
(円、消費税抜き)</t>
    <rPh sb="10" eb="11">
      <t>ケ</t>
    </rPh>
    <phoneticPr fontId="1"/>
  </si>
  <si>
    <t>見積書金額
(円、消費税抜き)</t>
    <phoneticPr fontId="1"/>
  </si>
  <si>
    <t>ﾒｰｶｰ名、仕様等</t>
  </si>
  <si>
    <t>項目</t>
    <phoneticPr fontId="1"/>
  </si>
  <si>
    <t>見積書（添付提出のこと）に基づき記載、金額は消費税抜きベースで記載、間接工事費・値引き等は、各項目に按分して計上のこと。</t>
  </si>
  <si>
    <t>２．蓄電システム費、工事費・据付費の算定</t>
  </si>
  <si>
    <t>⑥</t>
    <phoneticPr fontId="1"/>
  </si>
  <si>
    <t>⑤</t>
    <phoneticPr fontId="1"/>
  </si>
  <si>
    <t>③</t>
    <phoneticPr fontId="1"/>
  </si>
  <si>
    <t>kW</t>
  </si>
  <si>
    <t>②</t>
    <phoneticPr fontId="1"/>
  </si>
  <si>
    <t>　　黄色枠内に記入</t>
  </si>
  <si>
    <t>　メーカー仕様書（添付提出のこと）に基づき以下について記載する。</t>
  </si>
  <si>
    <t>第6号</t>
    <rPh sb="0" eb="1">
      <t>ダイ</t>
    </rPh>
    <rPh sb="2" eb="3">
      <t>ゴウ</t>
    </rPh>
    <phoneticPr fontId="1"/>
  </si>
  <si>
    <t>１．蓄電池の性能等に関する記載</t>
  </si>
  <si>
    <r>
      <t>・申請団体（個人）の種別(地方公共団体は「</t>
    </r>
    <r>
      <rPr>
        <b/>
        <u/>
        <sz val="9"/>
        <color theme="1"/>
        <rFont val="ＭＳ Ｐゴシック"/>
        <family val="3"/>
        <charset val="128"/>
        <scheme val="minor"/>
      </rPr>
      <t>1</t>
    </r>
    <r>
      <rPr>
        <u/>
        <sz val="9"/>
        <color theme="1"/>
        <rFont val="ＭＳ Ｐゴシック"/>
        <family val="3"/>
        <charset val="128"/>
        <scheme val="minor"/>
      </rPr>
      <t>」、非営利法人等は「</t>
    </r>
    <r>
      <rPr>
        <b/>
        <u/>
        <sz val="9"/>
        <color theme="1"/>
        <rFont val="ＭＳ Ｐゴシック"/>
        <family val="3"/>
        <charset val="128"/>
        <scheme val="minor"/>
      </rPr>
      <t>2</t>
    </r>
    <r>
      <rPr>
        <u/>
        <sz val="9"/>
        <color theme="1"/>
        <rFont val="ＭＳ Ｐゴシック"/>
        <family val="3"/>
        <charset val="128"/>
        <scheme val="minor"/>
      </rPr>
      <t>」、民間企業等は｢</t>
    </r>
    <r>
      <rPr>
        <b/>
        <u/>
        <sz val="9"/>
        <color theme="1"/>
        <rFont val="ＭＳ Ｐゴシック"/>
        <family val="3"/>
        <charset val="128"/>
        <scheme val="minor"/>
      </rPr>
      <t>3</t>
    </r>
    <r>
      <rPr>
        <u/>
        <sz val="9"/>
        <color theme="1"/>
        <rFont val="ＭＳ Ｐゴシック"/>
        <family val="3"/>
        <charset val="128"/>
        <scheme val="minor"/>
      </rPr>
      <t>」を入力</t>
    </r>
  </si>
  <si>
    <t>第1号</t>
    <rPh sb="0" eb="1">
      <t>ダイ</t>
    </rPh>
    <rPh sb="2" eb="3">
      <t>ゴウ</t>
    </rPh>
    <phoneticPr fontId="1"/>
  </si>
  <si>
    <t>：</t>
    <phoneticPr fontId="1"/>
  </si>
  <si>
    <t>連絡先（氏名、電話番号）</t>
    <rPh sb="0" eb="3">
      <t>レンラクサキ</t>
    </rPh>
    <rPh sb="4" eb="6">
      <t>シメイ</t>
    </rPh>
    <rPh sb="7" eb="9">
      <t>デンワ</t>
    </rPh>
    <rPh sb="9" eb="11">
      <t>バンゴウ</t>
    </rPh>
    <phoneticPr fontId="1"/>
  </si>
  <si>
    <t>作業エリア</t>
    <rPh sb="0" eb="2">
      <t>サギョウ</t>
    </rPh>
    <phoneticPr fontId="1"/>
  </si>
  <si>
    <t>作成日</t>
    <rPh sb="0" eb="3">
      <t>サクセイビ</t>
    </rPh>
    <phoneticPr fontId="1"/>
  </si>
  <si>
    <t>様式第１　別紙９</t>
  </si>
  <si>
    <r>
      <rPr>
        <b/>
        <sz val="8"/>
        <rFont val="ＭＳ Ｐゴシック"/>
        <family val="3"/>
        <charset val="128"/>
        <scheme val="minor"/>
      </rPr>
      <t>c）</t>
    </r>
    <r>
      <rPr>
        <sz val="8"/>
        <rFont val="ＭＳ Ｐゴシック"/>
        <family val="3"/>
        <charset val="128"/>
        <scheme val="minor"/>
      </rPr>
      <t>PVと共用の蓄電池制御装置(切分不可の場合)＊　
＊：算定対象金額とは、「1万円×PCS定格出力(kW)」を控除したもの</t>
    </r>
    <phoneticPr fontId="12"/>
  </si>
  <si>
    <t>⑨ａ’</t>
    <phoneticPr fontId="1"/>
  </si>
  <si>
    <r>
      <t xml:space="preserve">円／kW 、⑦÷② 
</t>
    </r>
    <r>
      <rPr>
        <sz val="8"/>
        <color theme="1"/>
        <rFont val="ＭＳ Ｐゴシック"/>
        <family val="3"/>
        <charset val="128"/>
        <scheme val="minor"/>
      </rPr>
      <t>消費税抜きベース</t>
    </r>
    <phoneticPr fontId="1"/>
  </si>
  <si>
    <t>⑨a または⑨a’が⑨b以下の場合   ： 要件を満たす→〇
⑨a または⑨a’が⑨bを越える場合 ： 要件を満たさない→×</t>
    <phoneticPr fontId="1"/>
  </si>
  <si>
    <t>以下の登録要件を満たすか。
　要件を満たす→〇
　要件を満たさない→×</t>
    <phoneticPr fontId="1"/>
  </si>
  <si>
    <t xml:space="preserve">家庭用の場合 ： </t>
    <rPh sb="0" eb="3">
      <t>カテイヨウ</t>
    </rPh>
    <rPh sb="4" eb="6">
      <t>バアイ</t>
    </rPh>
    <phoneticPr fontId="1"/>
  </si>
  <si>
    <t xml:space="preserve">業務用産業用の場合 ： </t>
    <rPh sb="0" eb="3">
      <t>ギョウムヨウ</t>
    </rPh>
    <rPh sb="3" eb="6">
      <t>サンギョウヨウ</t>
    </rPh>
    <rPh sb="7" eb="9">
      <t>バアイ</t>
    </rPh>
    <phoneticPr fontId="1"/>
  </si>
  <si>
    <t>定格出力1kWあたりの蓄電システム費</t>
    <rPh sb="0" eb="2">
      <t>テイカク</t>
    </rPh>
    <rPh sb="2" eb="4">
      <t>シュツリョク</t>
    </rPh>
    <phoneticPr fontId="1"/>
  </si>
  <si>
    <t>蓄電システム費（⑨a または⑨a’）と目標価格（⑨b）の比較判定</t>
    <phoneticPr fontId="1"/>
  </si>
  <si>
    <r>
      <t xml:space="preserve">   蓄電システム費
</t>
    </r>
    <r>
      <rPr>
        <sz val="8"/>
        <color theme="1"/>
        <rFont val="ＭＳ Ｐゴシック"/>
        <family val="3"/>
        <charset val="128"/>
        <scheme val="minor"/>
      </rPr>
      <t xml:space="preserve">
注：PCS（パワーコンディショナー）については、a）～c）の該当する場合を選択し、記載すること。</t>
    </r>
    <phoneticPr fontId="1"/>
  </si>
  <si>
    <t>プルダウンから選択→</t>
    <rPh sb="7" eb="9">
      <t>センタク</t>
    </rPh>
    <phoneticPr fontId="1"/>
  </si>
  <si>
    <t>家庭用</t>
    <rPh sb="0" eb="3">
      <t>カテイヨウ</t>
    </rPh>
    <phoneticPr fontId="1"/>
  </si>
  <si>
    <t>業務産業用</t>
    <rPh sb="0" eb="2">
      <t>ギョウム</t>
    </rPh>
    <rPh sb="2" eb="5">
      <t>サンギョウヨウ</t>
    </rPh>
    <phoneticPr fontId="1"/>
  </si>
  <si>
    <t>補助対象経費支出予定額
（定率補助対象分）</t>
    <rPh sb="14" eb="15">
      <t>リツ</t>
    </rPh>
    <phoneticPr fontId="1"/>
  </si>
  <si>
    <t>補助金所要額
（定率補助対象分）</t>
    <rPh sb="9" eb="10">
      <t>リツ</t>
    </rPh>
    <phoneticPr fontId="1"/>
  </si>
  <si>
    <r>
      <t>e）登録要件（</t>
    </r>
    <r>
      <rPr>
        <sz val="9"/>
        <color rgb="FFFF0000"/>
        <rFont val="ＭＳ Ｐゴシック"/>
        <family val="3"/>
        <charset val="128"/>
        <scheme val="minor"/>
      </rPr>
      <t>家庭用の場合のみ記入</t>
    </r>
    <r>
      <rPr>
        <sz val="9"/>
        <color theme="1"/>
        <rFont val="ＭＳ Ｐゴシック"/>
        <family val="3"/>
        <charset val="128"/>
        <scheme val="minor"/>
      </rPr>
      <t>）
　（業務用産業用の場合は記入不要）</t>
    </r>
    <rPh sb="7" eb="10">
      <t>カテイヨウ</t>
    </rPh>
    <rPh sb="11" eb="13">
      <t>バアイ</t>
    </rPh>
    <rPh sb="15" eb="17">
      <t>キニュウ</t>
    </rPh>
    <rPh sb="21" eb="24">
      <t>ギョウムヨウ</t>
    </rPh>
    <rPh sb="24" eb="27">
      <t>サンギョウヨウ</t>
    </rPh>
    <rPh sb="28" eb="30">
      <t>バアイ</t>
    </rPh>
    <rPh sb="31" eb="33">
      <t>キニュウ</t>
    </rPh>
    <rPh sb="33" eb="35">
      <t>フヨウ</t>
    </rPh>
    <phoneticPr fontId="1"/>
  </si>
  <si>
    <r>
      <t>申請者は、以下の</t>
    </r>
    <r>
      <rPr>
        <b/>
        <sz val="9"/>
        <color theme="1"/>
        <rFont val="ＭＳ Ｐゴシック"/>
        <family val="3"/>
        <charset val="128"/>
        <scheme val="minor"/>
      </rPr>
      <t>すべての黄色の枠内</t>
    </r>
    <r>
      <rPr>
        <sz val="9"/>
        <color theme="1"/>
        <rFont val="ＭＳ Ｐゴシック"/>
        <family val="3"/>
        <charset val="128"/>
        <scheme val="minor"/>
      </rPr>
      <t>について記載を行った上、本算定チェックシートを他の書類と一緒に提出する。</t>
    </r>
    <phoneticPr fontId="1"/>
  </si>
  <si>
    <t>kWh</t>
    <phoneticPr fontId="1"/>
  </si>
  <si>
    <t>Ah・セル</t>
    <phoneticPr fontId="1"/>
  </si>
  <si>
    <t>①’</t>
    <phoneticPr fontId="1"/>
  </si>
  <si>
    <t>(自動判別）</t>
    <phoneticPr fontId="1"/>
  </si>
  <si>
    <t>蓄電池の定格出力
　（kW）</t>
    <phoneticPr fontId="1"/>
  </si>
  <si>
    <t>太陽光発電等用パワーコンディショナーの定格出力　（kW）</t>
    <phoneticPr fontId="1"/>
  </si>
  <si>
    <t>蓄電容量÷定格出力</t>
    <phoneticPr fontId="1"/>
  </si>
  <si>
    <t>(自動計算)
　①÷②</t>
    <phoneticPr fontId="1"/>
  </si>
  <si>
    <t>　10万円</t>
    <phoneticPr fontId="1"/>
  </si>
  <si>
    <t>ﾌﾟﾙﾀﾞｳﾝから選択</t>
    <rPh sb="9" eb="11">
      <t>センタク</t>
    </rPh>
    <phoneticPr fontId="1"/>
  </si>
  <si>
    <r>
      <t>・対象事業について：申請事業の事業区分を記載(事業の号数の、「</t>
    </r>
    <r>
      <rPr>
        <b/>
        <u/>
        <sz val="9"/>
        <color theme="1"/>
        <rFont val="ＭＳ Ｐゴシック"/>
        <family val="3"/>
        <charset val="128"/>
        <scheme val="minor"/>
      </rPr>
      <t>1</t>
    </r>
    <r>
      <rPr>
        <u/>
        <sz val="9"/>
        <color theme="1"/>
        <rFont val="ＭＳ Ｐゴシック"/>
        <family val="3"/>
        <charset val="128"/>
        <scheme val="minor"/>
      </rPr>
      <t>」、｢</t>
    </r>
    <r>
      <rPr>
        <b/>
        <u/>
        <sz val="9"/>
        <color theme="1"/>
        <rFont val="ＭＳ Ｐゴシック"/>
        <family val="3"/>
        <charset val="128"/>
        <scheme val="minor"/>
      </rPr>
      <t>6</t>
    </r>
    <r>
      <rPr>
        <u/>
        <sz val="9"/>
        <color theme="1"/>
        <rFont val="ＭＳ Ｐゴシック"/>
        <family val="3"/>
        <charset val="128"/>
        <scheme val="minor"/>
      </rPr>
      <t>」</t>
    </r>
    <r>
      <rPr>
        <u/>
        <sz val="9"/>
        <color theme="1"/>
        <rFont val="ＭＳ Ｐゴシック"/>
        <family val="3"/>
        <charset val="128"/>
        <scheme val="minor"/>
      </rPr>
      <t>のいずれかの数字を入力)</t>
    </r>
    <phoneticPr fontId="1"/>
  </si>
  <si>
    <t>家庭用/業務用産業用の判別 ＊3</t>
    <phoneticPr fontId="1"/>
  </si>
  <si>
    <t>蓄電容量 ＊1
　（kWh）</t>
    <phoneticPr fontId="1"/>
  </si>
  <si>
    <t>年</t>
    <phoneticPr fontId="1"/>
  </si>
  <si>
    <r>
      <t>蓄電池保証年数 ＊4
　　　　　　　　　　　</t>
    </r>
    <r>
      <rPr>
        <i/>
        <sz val="8"/>
        <color rgb="FF0000FF"/>
        <rFont val="ＭＳ Ｐゴシック"/>
        <family val="3"/>
        <charset val="128"/>
        <scheme val="minor"/>
      </rPr>
      <t>プルダウンから選択→</t>
    </r>
    <rPh sb="29" eb="31">
      <t>センタク</t>
    </rPh>
    <phoneticPr fontId="1"/>
  </si>
  <si>
    <t>定格容量 ＊2
　（Ah・セル）</t>
    <rPh sb="0" eb="2">
      <t>テイカク</t>
    </rPh>
    <rPh sb="2" eb="4">
      <t>ヨウリョウ</t>
    </rPh>
    <phoneticPr fontId="1"/>
  </si>
  <si>
    <t>　　　　　　　⑪、⑫を別紙４経費内訳に転記する。</t>
    <phoneticPr fontId="1"/>
  </si>
  <si>
    <t>⑫</t>
    <phoneticPr fontId="1"/>
  </si>
  <si>
    <t>補助金所要額</t>
    <phoneticPr fontId="1"/>
  </si>
  <si>
    <t>　　　　　　　 経費内訳の所要経費（8）への計上額</t>
    <phoneticPr fontId="1"/>
  </si>
  <si>
    <t>⑪</t>
    <phoneticPr fontId="1"/>
  </si>
  <si>
    <t>補助対象経費支出予定額</t>
    <phoneticPr fontId="1"/>
  </si>
  <si>
    <t>　　　　　　　 経費内訳の所要経費（4）への計上額</t>
    <phoneticPr fontId="1"/>
  </si>
  <si>
    <t>　（⑦蓄電システム費＋⑧工事費・据付費）÷2</t>
    <rPh sb="12" eb="15">
      <t>コウジヒ</t>
    </rPh>
    <rPh sb="16" eb="18">
      <t>スエツケ</t>
    </rPh>
    <rPh sb="18" eb="19">
      <t>ヒ</t>
    </rPh>
    <phoneticPr fontId="1"/>
  </si>
  <si>
    <t>ひとつでも×がある場合　：</t>
    <phoneticPr fontId="1"/>
  </si>
  <si>
    <t>すべての要件を満たす場合　：</t>
    <phoneticPr fontId="1"/>
  </si>
  <si>
    <r>
      <t xml:space="preserve">メーカー保証およびサイクル試験による性能の双方が10年以上の蓄電システムであること。
</t>
    </r>
    <r>
      <rPr>
        <sz val="8"/>
        <color theme="1"/>
        <rFont val="ＭＳ Ｐゴシック"/>
        <family val="3"/>
        <charset val="128"/>
        <scheme val="minor"/>
      </rPr>
      <t>※蓄電システムの製造を製造事業者に委託し、自社の製品として販売する事業者も含む。
※当該機器製造事業者外の保証（販売店保証等）は含めない。
※メーカー保証期間内の補償費用は無償であることを条件とする。</t>
    </r>
    <phoneticPr fontId="1"/>
  </si>
  <si>
    <t xml:space="preserve">蓄電池部（初期実効容量1.0kWh以上）とパワーコンディショナ等の電力変換装置から構成されるシステムであり、蓄電システム本体機器を含むシステム全体を一つのパッケージとして取り扱うものであること。
※初期実効容量は、「JEM」規格で定義された容量を適用する。
※システム全体を統合して管理するための番号（以下、「パッケージ型番」という。）が付与されていること。
</t>
    <phoneticPr fontId="1"/>
  </si>
  <si>
    <t>以下の登録要件を満たすか。
　要件を満たす→〇
　要件を満たさない→×</t>
    <phoneticPr fontId="1"/>
  </si>
  <si>
    <t>⑨a または⑨a’が⑨b以下の場合   ： 要件を満たす→〇
⑨a または⑨a’が⑨bを越える場合 ： 要件を満たさない→×</t>
    <phoneticPr fontId="1"/>
  </si>
  <si>
    <t>蓄電システム費（⑨a または⑨a’）と目標価格（⑨b）の比較判定</t>
    <phoneticPr fontId="1"/>
  </si>
  <si>
    <t>該当</t>
    <phoneticPr fontId="1"/>
  </si>
  <si>
    <t>〇、×を記載</t>
    <phoneticPr fontId="1"/>
  </si>
  <si>
    <t>⑨ａ’</t>
    <phoneticPr fontId="1"/>
  </si>
  <si>
    <r>
      <t xml:space="preserve">円／kW 、⑦÷② 
</t>
    </r>
    <r>
      <rPr>
        <sz val="8"/>
        <color theme="1"/>
        <rFont val="ＭＳ Ｐゴシック"/>
        <family val="3"/>
        <charset val="128"/>
        <scheme val="minor"/>
      </rPr>
      <t>消費税抜きベース</t>
    </r>
    <phoneticPr fontId="1"/>
  </si>
  <si>
    <r>
      <rPr>
        <b/>
        <sz val="8"/>
        <rFont val="ＭＳ Ｐゴシック"/>
        <family val="3"/>
        <charset val="128"/>
        <scheme val="minor"/>
      </rPr>
      <t>c）</t>
    </r>
    <r>
      <rPr>
        <sz val="8"/>
        <rFont val="ＭＳ Ｐゴシック"/>
        <family val="3"/>
        <charset val="128"/>
        <scheme val="minor"/>
      </rPr>
      <t>PVと共用の蓄電池制御装置(切分不可の場合)＊　
＊：算定対象金額とは、「1万円×PCS定格出力(kW)」を控除したもの</t>
    </r>
    <phoneticPr fontId="1"/>
  </si>
  <si>
    <r>
      <t xml:space="preserve">   蓄電システム費
</t>
    </r>
    <r>
      <rPr>
        <sz val="8"/>
        <color theme="1"/>
        <rFont val="ＭＳ Ｐゴシック"/>
        <family val="3"/>
        <charset val="128"/>
        <scheme val="minor"/>
      </rPr>
      <t xml:space="preserve">
注：PCS（パワーコンディショナー）については、a）～c）の該当する場合を選択し、記載すること。</t>
    </r>
    <phoneticPr fontId="1"/>
  </si>
  <si>
    <t>項目</t>
    <phoneticPr fontId="1"/>
  </si>
  <si>
    <t>⑥</t>
    <phoneticPr fontId="1"/>
  </si>
  <si>
    <t>年</t>
    <phoneticPr fontId="1"/>
  </si>
  <si>
    <t>⑤</t>
    <phoneticPr fontId="1"/>
  </si>
  <si>
    <t>(自動判別）</t>
    <phoneticPr fontId="1"/>
  </si>
  <si>
    <t>家庭用/業務用産業用の判別 ＊3</t>
    <phoneticPr fontId="1"/>
  </si>
  <si>
    <t>(自動計算)
　①÷②</t>
    <phoneticPr fontId="1"/>
  </si>
  <si>
    <t>蓄電容量÷定格出力</t>
    <phoneticPr fontId="1"/>
  </si>
  <si>
    <t>③</t>
    <phoneticPr fontId="1"/>
  </si>
  <si>
    <t>太陽光発電等用パワーコンディショナーの定格出力　（kW）</t>
    <phoneticPr fontId="1"/>
  </si>
  <si>
    <t>②</t>
    <phoneticPr fontId="1"/>
  </si>
  <si>
    <t>蓄電池の定格出力
　（kW）</t>
    <phoneticPr fontId="1"/>
  </si>
  <si>
    <t>①’</t>
    <phoneticPr fontId="1"/>
  </si>
  <si>
    <t>Ah・セル</t>
    <phoneticPr fontId="1"/>
  </si>
  <si>
    <t>kWh</t>
    <phoneticPr fontId="1"/>
  </si>
  <si>
    <t>蓄電容量 ＊1
　（kWh）</t>
    <phoneticPr fontId="1"/>
  </si>
  <si>
    <r>
      <t>申請者は、以下の</t>
    </r>
    <r>
      <rPr>
        <b/>
        <sz val="9"/>
        <color theme="1"/>
        <rFont val="ＭＳ Ｐゴシック"/>
        <family val="3"/>
        <charset val="128"/>
        <scheme val="minor"/>
      </rPr>
      <t>すべての黄色の枠内</t>
    </r>
    <r>
      <rPr>
        <sz val="9"/>
        <color theme="1"/>
        <rFont val="ＭＳ Ｐゴシック"/>
        <family val="3"/>
        <charset val="128"/>
        <scheme val="minor"/>
      </rPr>
      <t>について記載を行った上、本算定チェックシートを他の書類と一緒に提出する。</t>
    </r>
    <phoneticPr fontId="1"/>
  </si>
  <si>
    <t>：</t>
    <phoneticPr fontId="1"/>
  </si>
  <si>
    <t>　①の蓄電容量(kWh)×3万円</t>
    <phoneticPr fontId="1"/>
  </si>
  <si>
    <t>【消費税率の選択】</t>
    <rPh sb="1" eb="4">
      <t>ショウヒゼイ</t>
    </rPh>
    <rPh sb="4" eb="5">
      <t>リツ</t>
    </rPh>
    <rPh sb="6" eb="8">
      <t>センタク</t>
    </rPh>
    <phoneticPr fontId="1"/>
  </si>
  <si>
    <t>　②の定格出力(kW)×7万円</t>
    <phoneticPr fontId="1"/>
  </si>
  <si>
    <t xml:space="preserve"> 蓄電容量１kWh あたり 13.5 万円</t>
    <phoneticPr fontId="1"/>
  </si>
  <si>
    <t xml:space="preserve"> 蓄電容量１kWh あたり 12.6 万円</t>
    <phoneticPr fontId="1"/>
  </si>
  <si>
    <t xml:space="preserve"> 蓄電容量１kWh あたり 11.7 万円</t>
    <phoneticPr fontId="1"/>
  </si>
  <si>
    <t xml:space="preserve"> 蓄電容量１kWh あたり   9.9 万円</t>
    <phoneticPr fontId="1"/>
  </si>
  <si>
    <t xml:space="preserve"> 蓄電容量１kWh あたり   9   万円</t>
    <phoneticPr fontId="1"/>
  </si>
  <si>
    <t xml:space="preserve"> 定格出力１kW   あたり 19   万円</t>
    <rPh sb="1" eb="3">
      <t>テイカク</t>
    </rPh>
    <phoneticPr fontId="1"/>
  </si>
  <si>
    <t xml:space="preserve"> 蓄電容量１kWh あたり 10.8 万円</t>
    <phoneticPr fontId="1"/>
  </si>
  <si>
    <t>※消費税が補助対象となる事業においては、想定される事業スケジュールを十分に勘案の上、その時期に見合った適切な消費税率を選択し、当該税額を算定の上、申請を行うこと。なお、申請された金額が当該事業の上限額となる。</t>
    <rPh sb="1" eb="4">
      <t>ショウヒゼイ</t>
    </rPh>
    <rPh sb="5" eb="7">
      <t>ホジョ</t>
    </rPh>
    <rPh sb="7" eb="9">
      <t>タイショウ</t>
    </rPh>
    <rPh sb="12" eb="14">
      <t>ジギョウ</t>
    </rPh>
    <rPh sb="20" eb="22">
      <t>ソウテイ</t>
    </rPh>
    <rPh sb="25" eb="27">
      <t>ジギョウ</t>
    </rPh>
    <rPh sb="34" eb="36">
      <t>ジュウブン</t>
    </rPh>
    <rPh sb="37" eb="39">
      <t>カンアン</t>
    </rPh>
    <rPh sb="40" eb="41">
      <t>ウエ</t>
    </rPh>
    <rPh sb="44" eb="46">
      <t>ジキ</t>
    </rPh>
    <rPh sb="47" eb="49">
      <t>ミア</t>
    </rPh>
    <rPh sb="51" eb="53">
      <t>テキセツ</t>
    </rPh>
    <rPh sb="54" eb="57">
      <t>ショウヒゼイ</t>
    </rPh>
    <rPh sb="57" eb="58">
      <t>リツ</t>
    </rPh>
    <rPh sb="59" eb="61">
      <t>センタク</t>
    </rPh>
    <rPh sb="63" eb="65">
      <t>トウガイ</t>
    </rPh>
    <rPh sb="65" eb="67">
      <t>ゼイガク</t>
    </rPh>
    <rPh sb="68" eb="70">
      <t>サンテイ</t>
    </rPh>
    <rPh sb="71" eb="72">
      <t>ウエ</t>
    </rPh>
    <rPh sb="73" eb="75">
      <t>シンセイ</t>
    </rPh>
    <rPh sb="76" eb="77">
      <t>オコナ</t>
    </rPh>
    <rPh sb="84" eb="86">
      <t>シンセイ</t>
    </rPh>
    <rPh sb="89" eb="91">
      <t>キンガク</t>
    </rPh>
    <rPh sb="92" eb="94">
      <t>トウガイ</t>
    </rPh>
    <rPh sb="94" eb="96">
      <t>ジギョウ</t>
    </rPh>
    <rPh sb="97" eb="100">
      <t>ジョウゲンガク</t>
    </rPh>
    <phoneticPr fontId="1"/>
  </si>
  <si>
    <r>
      <t>【蓄電システムの「システム価格」、「補助率、上限」算定チェックシート(第８号事業用)】　</t>
    </r>
    <r>
      <rPr>
        <b/>
        <sz val="12"/>
        <color rgb="FFFF0000"/>
        <rFont val="ＭＳ Ｐゴシック"/>
        <family val="3"/>
        <charset val="128"/>
        <scheme val="minor"/>
      </rPr>
      <t>H31年度版</t>
    </r>
    <rPh sb="35" eb="36">
      <t>ダイ</t>
    </rPh>
    <rPh sb="47" eb="49">
      <t>ネンド</t>
    </rPh>
    <rPh sb="49" eb="50">
      <t>バン</t>
    </rPh>
    <phoneticPr fontId="1"/>
  </si>
  <si>
    <r>
      <t>【蓄電システムの「システム価格」、「補助率、上限」算定チェックシート(第１号、第６号事業用)】　</t>
    </r>
    <r>
      <rPr>
        <b/>
        <sz val="12"/>
        <color rgb="FFFF0000"/>
        <rFont val="ＭＳ Ｐゴシック"/>
        <family val="3"/>
        <charset val="128"/>
        <scheme val="minor"/>
      </rPr>
      <t>H31年度版</t>
    </r>
    <rPh sb="35" eb="36">
      <t>ダイ</t>
    </rPh>
    <rPh sb="39" eb="40">
      <t>ダイ</t>
    </rPh>
    <rPh sb="51" eb="53">
      <t>ネンド</t>
    </rPh>
    <rPh sb="53" eb="54">
      <t>バン</t>
    </rPh>
    <phoneticPr fontId="1"/>
  </si>
  <si>
    <t>容量 3.０ｋWh未満、出力１MW未満</t>
    <rPh sb="0" eb="2">
      <t>ヨウリョウ</t>
    </rPh>
    <rPh sb="9" eb="11">
      <t>ミマン</t>
    </rPh>
    <rPh sb="12" eb="14">
      <t>シュツリョク</t>
    </rPh>
    <rPh sb="17" eb="19">
      <t>ミマン</t>
    </rPh>
    <phoneticPr fontId="1"/>
  </si>
  <si>
    <t>容量 3.０ｋWh未満、出力１MW以上</t>
    <rPh sb="0" eb="2">
      <t>ヨウリョウ</t>
    </rPh>
    <rPh sb="9" eb="11">
      <t>ミマン</t>
    </rPh>
    <rPh sb="12" eb="14">
      <t>シュツリョク</t>
    </rPh>
    <rPh sb="17" eb="19">
      <t>イジョウ</t>
    </rPh>
    <phoneticPr fontId="1"/>
  </si>
  <si>
    <t>容量 3.０ｋWh以上、出力１MW未満</t>
    <rPh sb="0" eb="2">
      <t>ヨウリョウ</t>
    </rPh>
    <rPh sb="9" eb="11">
      <t>イジョウ</t>
    </rPh>
    <rPh sb="12" eb="14">
      <t>シュツリョク</t>
    </rPh>
    <rPh sb="17" eb="19">
      <t>ミマン</t>
    </rPh>
    <phoneticPr fontId="1"/>
  </si>
  <si>
    <t>容量 3.０ｋWh以上、出力１MW以上</t>
    <rPh sb="0" eb="2">
      <t>ヨウリョウ</t>
    </rPh>
    <rPh sb="9" eb="11">
      <t>イジョウ</t>
    </rPh>
    <rPh sb="12" eb="14">
      <t>シュツリョク</t>
    </rPh>
    <rPh sb="17" eb="19">
      <t>イジョウ</t>
    </rPh>
    <phoneticPr fontId="1"/>
  </si>
  <si>
    <t xml:space="preserve"> 定格出力１kW   あたり 22   万円</t>
    <rPh sb="1" eb="3">
      <t>テイカク</t>
    </rPh>
    <phoneticPr fontId="1"/>
  </si>
  <si>
    <t>②ECHONET Lite</t>
    <phoneticPr fontId="1"/>
  </si>
  <si>
    <t>「ECHONET Lite Release H」以降の規格を標準インタフェースとして搭載していること。
※ファームアップ対応する場合は対応時期を明示すること。
※周波数調整型は不要</t>
    <rPh sb="24" eb="26">
      <t>イコウ</t>
    </rPh>
    <rPh sb="27" eb="29">
      <t>キカク</t>
    </rPh>
    <rPh sb="30" eb="32">
      <t>ヒョウジュン</t>
    </rPh>
    <rPh sb="42" eb="44">
      <t>トウサイ</t>
    </rPh>
    <rPh sb="60" eb="62">
      <t>タイオウ</t>
    </rPh>
    <rPh sb="64" eb="66">
      <t>バアイ</t>
    </rPh>
    <rPh sb="67" eb="69">
      <t>タイオウ</t>
    </rPh>
    <rPh sb="69" eb="71">
      <t>ジキ</t>
    </rPh>
    <rPh sb="72" eb="74">
      <t>メイジ</t>
    </rPh>
    <rPh sb="81" eb="84">
      <t>シュウハスウ</t>
    </rPh>
    <rPh sb="84" eb="87">
      <t>チョウセイガタ</t>
    </rPh>
    <rPh sb="88" eb="90">
      <t>フヨウ</t>
    </rPh>
    <phoneticPr fontId="1"/>
  </si>
  <si>
    <t>③AIF認証</t>
    <rPh sb="4" eb="6">
      <t>ニンショウ</t>
    </rPh>
    <phoneticPr fontId="1"/>
  </si>
  <si>
    <t>エコーネットコンソーシアムが規定するアプリケーション通信インタ－フェイス仕様書による製品の使用適合性認証（以下、「AIF認証」という。）によるものであること。
※ファームアップ対応する場合は対応時期を明示すること。
※周波数調整型は不要</t>
    <rPh sb="14" eb="16">
      <t>キテイ</t>
    </rPh>
    <rPh sb="26" eb="28">
      <t>ツウシン</t>
    </rPh>
    <rPh sb="36" eb="39">
      <t>シヨウショ</t>
    </rPh>
    <rPh sb="42" eb="44">
      <t>セイヒン</t>
    </rPh>
    <rPh sb="45" eb="47">
      <t>シヨウ</t>
    </rPh>
    <rPh sb="47" eb="49">
      <t>テキゴウ</t>
    </rPh>
    <rPh sb="49" eb="50">
      <t>セイ</t>
    </rPh>
    <rPh sb="50" eb="52">
      <t>ニンショウ</t>
    </rPh>
    <rPh sb="53" eb="55">
      <t>イカ</t>
    </rPh>
    <rPh sb="60" eb="62">
      <t>ニンショウ</t>
    </rPh>
    <phoneticPr fontId="1"/>
  </si>
  <si>
    <t>④性能表示基準</t>
    <phoneticPr fontId="1"/>
  </si>
  <si>
    <t>⑤蓄電池部安全基準</t>
    <phoneticPr fontId="1"/>
  </si>
  <si>
    <t xml:space="preserve">⑥蓄電システム部安全基準
※リチウムイオン蓄電池部を使用した蓄電システムのみ
</t>
    <phoneticPr fontId="1"/>
  </si>
  <si>
    <t xml:space="preserve">⑦震災対策基準
※リチウムイオン蓄電池部を使用した蓄電システムのみ
</t>
    <phoneticPr fontId="1"/>
  </si>
  <si>
    <t>⑧保証期間</t>
    <phoneticPr fontId="1"/>
  </si>
  <si>
    <t>c)系統電力からの蓄電は行わない（設備的に系統電力からの蓄電ができないシステムであること）。</t>
    <rPh sb="17" eb="20">
      <t>セツビテキ</t>
    </rPh>
    <rPh sb="21" eb="23">
      <t>ケイトウ</t>
    </rPh>
    <rPh sb="23" eb="25">
      <t>デンリョク</t>
    </rPh>
    <rPh sb="28" eb="30">
      <t>チクデン</t>
    </rPh>
    <phoneticPr fontId="1"/>
  </si>
  <si>
    <r>
      <t>e)蓄電システム費の価格要件（目標価格との比較）
将来、自立的に普及する蓄電システム市場の成立を目的とし、市場の活性化と、量産体制整備後のさらなるコストダウンを加速させるため、以下の条件を満たしているかを確認。
要件：⑨aの蓄電システム費が、以下の表の機器毎の保証年数に応じて設定した目標価格（⑨b）以下の蓄電システムであること。
【⑤で家庭用と判別された場合】保証年数に該当するケースを選択（目標価格⑨bを確定）。
【⑤で業務用産業用と判別された場合】下表の業務用産業用を選択（目標価格⑨bを確定）。
　</t>
    </r>
    <r>
      <rPr>
        <sz val="8"/>
        <color theme="1"/>
        <rFont val="ＭＳ Ｐゴシック"/>
        <family val="3"/>
        <charset val="128"/>
        <scheme val="minor"/>
      </rPr>
      <t>注：目標価格を判定する保証年数は、原則メーカーの保証年数（無償保証に限る）とする。当該機器製造事業者外の保証（販売店保証等）は含めない。</t>
    </r>
    <rPh sb="194" eb="196">
      <t>センタク</t>
    </rPh>
    <rPh sb="237" eb="239">
      <t>センタク</t>
    </rPh>
    <phoneticPr fontId="1"/>
  </si>
  <si>
    <r>
      <t>ｆ）登録要件（</t>
    </r>
    <r>
      <rPr>
        <sz val="9"/>
        <color rgb="FFFF0000"/>
        <rFont val="ＭＳ Ｐゴシック"/>
        <family val="3"/>
        <charset val="128"/>
        <scheme val="minor"/>
      </rPr>
      <t>家庭用の場合のみ記入</t>
    </r>
    <r>
      <rPr>
        <sz val="9"/>
        <color theme="1"/>
        <rFont val="ＭＳ Ｐゴシック"/>
        <family val="3"/>
        <charset val="128"/>
        <scheme val="minor"/>
      </rPr>
      <t>）
　（業務用産業用の場合は記入不要）</t>
    </r>
    <rPh sb="7" eb="10">
      <t>カテイヨウ</t>
    </rPh>
    <rPh sb="11" eb="13">
      <t>バアイ</t>
    </rPh>
    <rPh sb="15" eb="17">
      <t>キニュウ</t>
    </rPh>
    <rPh sb="21" eb="24">
      <t>ギョウムヨウ</t>
    </rPh>
    <rPh sb="24" eb="27">
      <t>サンギョウヨウ</t>
    </rPh>
    <rPh sb="28" eb="30">
      <t>バアイ</t>
    </rPh>
    <rPh sb="31" eb="33">
      <t>キニュウ</t>
    </rPh>
    <rPh sb="33" eb="35">
      <t>フヨウ</t>
    </rPh>
    <phoneticPr fontId="1"/>
  </si>
  <si>
    <t>ｄ)自家消費・地産地消において、電気を効率的に活用し、CO2の削減に資するものであること
　　（保安防災目的は補助対象外）。</t>
    <rPh sb="2" eb="4">
      <t>ジカ</t>
    </rPh>
    <rPh sb="4" eb="6">
      <t>ショウヒ</t>
    </rPh>
    <rPh sb="7" eb="9">
      <t>チサン</t>
    </rPh>
    <rPh sb="9" eb="11">
      <t>チショウ</t>
    </rPh>
    <rPh sb="16" eb="18">
      <t>デンキ</t>
    </rPh>
    <rPh sb="19" eb="22">
      <t>コウリツテキ</t>
    </rPh>
    <rPh sb="23" eb="25">
      <t>カツヨウ</t>
    </rPh>
    <rPh sb="31" eb="33">
      <t>サクゲン</t>
    </rPh>
    <rPh sb="34" eb="35">
      <t>シ</t>
    </rPh>
    <rPh sb="48" eb="50">
      <t>ホアン</t>
    </rPh>
    <rPh sb="50" eb="52">
      <t>ボウサイ</t>
    </rPh>
    <rPh sb="52" eb="54">
      <t>モクテキ</t>
    </rPh>
    <rPh sb="55" eb="57">
      <t>ホジョ</t>
    </rPh>
    <rPh sb="57" eb="60">
      <t>タイショウガイ</t>
    </rPh>
    <phoneticPr fontId="1"/>
  </si>
  <si>
    <t>④性能表示基準</t>
    <phoneticPr fontId="28"/>
  </si>
  <si>
    <t>⑤蓄電池部安全基準</t>
    <phoneticPr fontId="28"/>
  </si>
  <si>
    <t xml:space="preserve">⑥蓄電システム部安全基準
※リチウムイオン蓄電池部を使用した蓄電システムのみ
</t>
    <phoneticPr fontId="28"/>
  </si>
  <si>
    <t xml:space="preserve">⑦震災対策基準
※リチウムイオン蓄電池部を使用した蓄電システムのみ
</t>
    <phoneticPr fontId="28"/>
  </si>
  <si>
    <t>⑧保証期間</t>
    <phoneticPr fontId="1"/>
  </si>
  <si>
    <r>
      <t>d)蓄電システム費の価格要件（目標価格との比較）
将来、自立的に普及する蓄電システム市場の成立を目的とし、市場の活性化と、量産体制整備後のさらなるコストダウンを加速させるため、以下の条件を満たしているかを確認。
要件：⑨aの蓄電システム費が、以下の表の機器毎の保証年数に応じて設定した目標価格（⑨b）以下の蓄電システムであること。
【⑤で家庭用と判別された場合】保証年数に該当するケースを選択（目標価格⑨bを確定）。
【⑤で業務用産業用と判別された場合】下表の業務用産業用を選択（目標価格⑨bを確定）。
　</t>
    </r>
    <r>
      <rPr>
        <sz val="8"/>
        <color theme="1"/>
        <rFont val="ＭＳ Ｐゴシック"/>
        <family val="3"/>
        <charset val="128"/>
        <scheme val="minor"/>
      </rPr>
      <t>注：目標価格を判定する保証年数は、原則メーカーの保証年数（無償保証に限る）とする。当該機器製造事業者外の保証（販売店保証等）は含めない。</t>
    </r>
    <rPh sb="194" eb="196">
      <t>センタク</t>
    </rPh>
    <rPh sb="237" eb="239">
      <t>センタク</t>
    </rPh>
    <phoneticPr fontId="1"/>
  </si>
  <si>
    <t>団体名</t>
    <rPh sb="0" eb="2">
      <t>ダンタイ</t>
    </rPh>
    <rPh sb="2" eb="3">
      <t>メイ</t>
    </rPh>
    <phoneticPr fontId="1"/>
  </si>
  <si>
    <t>団体名</t>
    <rPh sb="0" eb="2">
      <t>ダンタイ</t>
    </rPh>
    <rPh sb="2" eb="3">
      <t>メイ</t>
    </rPh>
    <phoneticPr fontId="28"/>
  </si>
  <si>
    <t>Ver31.01.01</t>
    <phoneticPr fontId="1"/>
  </si>
  <si>
    <t>Ver31.01.02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</si>
</sst>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_ "/>
    <numFmt numFmtId="177" formatCode="#,##0_ "/>
    <numFmt numFmtId="178" formatCode="0.0_ "/>
    <numFmt numFmtId="179" formatCode="#,##0_);[Red]\(#,##0\)"/>
    <numFmt numFmtId="180" formatCode="0.0_);[Red]\(0.0\)"/>
    <numFmt numFmtId="181" formatCode="0.0"/>
    <numFmt numFmtId="182" formatCode="[$-411]ggge&quot;年 &quot;m&quot;月 &quot;d&quot;日&quot;;@"/>
  </numFmts>
  <fonts count="29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u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0070C0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i/>
      <sz val="8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178" fontId="3" fillId="0" borderId="0" xfId="0" applyNumberFormat="1" applyFont="1" applyProtection="1">
      <alignment vertical="center"/>
    </xf>
    <xf numFmtId="176" fontId="3" fillId="0" borderId="0" xfId="0" applyNumberFormat="1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3" fillId="0" borderId="0" xfId="0" applyFont="1" applyAlignment="1" applyProtection="1">
      <alignment horizontal="left" vertical="top"/>
    </xf>
    <xf numFmtId="178" fontId="3" fillId="0" borderId="0" xfId="0" applyNumberFormat="1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179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177" fontId="4" fillId="0" borderId="0" xfId="0" applyNumberFormat="1" applyFont="1" applyProtection="1">
      <alignment vertical="center"/>
    </xf>
    <xf numFmtId="177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left" vertical="center"/>
    </xf>
    <xf numFmtId="179" fontId="3" fillId="0" borderId="0" xfId="0" applyNumberFormat="1" applyFont="1" applyProtection="1">
      <alignment vertical="center"/>
    </xf>
    <xf numFmtId="0" fontId="13" fillId="0" borderId="0" xfId="0" applyFont="1" applyProtection="1">
      <alignment vertical="center"/>
    </xf>
    <xf numFmtId="49" fontId="13" fillId="0" borderId="0" xfId="0" applyNumberFormat="1" applyFont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left" vertical="top"/>
    </xf>
    <xf numFmtId="0" fontId="2" fillId="0" borderId="0" xfId="0" applyFont="1" applyFill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0" fontId="13" fillId="0" borderId="0" xfId="0" applyFont="1" applyAlignment="1" applyProtection="1">
      <alignment horizontal="left" vertical="top"/>
    </xf>
    <xf numFmtId="0" fontId="3" fillId="0" borderId="0" xfId="0" applyNumberFormat="1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4" fillId="3" borderId="0" xfId="0" applyFont="1" applyFill="1" applyProtection="1">
      <alignment vertical="center"/>
    </xf>
    <xf numFmtId="0" fontId="10" fillId="0" borderId="0" xfId="0" applyFont="1" applyAlignment="1" applyProtection="1">
      <alignment horizontal="left" vertical="top"/>
    </xf>
    <xf numFmtId="0" fontId="15" fillId="0" borderId="0" xfId="0" applyFont="1" applyAlignment="1" applyProtection="1">
      <alignment horizontal="left" vertical="top"/>
    </xf>
    <xf numFmtId="177" fontId="3" fillId="0" borderId="5" xfId="0" applyNumberFormat="1" applyFont="1" applyBorder="1" applyAlignment="1" applyProtection="1">
      <alignment horizontal="right" vertical="center"/>
    </xf>
    <xf numFmtId="177" fontId="3" fillId="0" borderId="5" xfId="0" applyNumberFormat="1" applyFont="1" applyFill="1" applyBorder="1" applyAlignment="1" applyProtection="1">
      <alignment horizontal="right" vertical="center"/>
    </xf>
    <xf numFmtId="179" fontId="3" fillId="0" borderId="5" xfId="0" applyNumberFormat="1" applyFont="1" applyFill="1" applyBorder="1" applyAlignment="1" applyProtection="1">
      <alignment horizontal="right" vertical="center"/>
    </xf>
    <xf numFmtId="179" fontId="3" fillId="0" borderId="5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top" wrapText="1"/>
    </xf>
    <xf numFmtId="0" fontId="10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top"/>
    </xf>
    <xf numFmtId="0" fontId="4" fillId="0" borderId="11" xfId="0" applyFont="1" applyBorder="1" applyAlignment="1" applyProtection="1">
      <alignment horizontal="left" vertical="top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3" fillId="0" borderId="4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top"/>
    </xf>
    <xf numFmtId="0" fontId="17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top"/>
    </xf>
    <xf numFmtId="180" fontId="3" fillId="0" borderId="0" xfId="0" applyNumberFormat="1" applyFont="1" applyBorder="1" applyAlignment="1" applyProtection="1">
      <alignment horizontal="right" vertical="top"/>
    </xf>
    <xf numFmtId="3" fontId="3" fillId="0" borderId="0" xfId="0" applyNumberFormat="1" applyFont="1" applyBorder="1" applyAlignment="1" applyProtection="1">
      <alignment vertical="center" wrapText="1"/>
    </xf>
    <xf numFmtId="177" fontId="3" fillId="0" borderId="8" xfId="0" applyNumberFormat="1" applyFont="1" applyBorder="1" applyProtection="1">
      <alignment vertical="center"/>
    </xf>
    <xf numFmtId="0" fontId="8" fillId="0" borderId="0" xfId="0" applyFont="1" applyBorder="1" applyAlignment="1" applyProtection="1">
      <alignment horizontal="left" vertical="top" wrapText="1"/>
    </xf>
    <xf numFmtId="177" fontId="3" fillId="0" borderId="0" xfId="0" applyNumberFormat="1" applyFont="1" applyBorder="1" applyAlignment="1" applyProtection="1">
      <alignment vertical="center" wrapText="1"/>
    </xf>
    <xf numFmtId="177" fontId="7" fillId="0" borderId="4" xfId="0" applyNumberFormat="1" applyFont="1" applyBorder="1" applyProtection="1">
      <alignment vertical="center"/>
    </xf>
    <xf numFmtId="177" fontId="7" fillId="2" borderId="5" xfId="0" applyNumberFormat="1" applyFont="1" applyFill="1" applyBorder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</xf>
    <xf numFmtId="0" fontId="20" fillId="0" borderId="5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centerContinuous" vertical="center"/>
    </xf>
    <xf numFmtId="0" fontId="4" fillId="0" borderId="0" xfId="0" applyFont="1" applyAlignment="1" applyProtection="1">
      <alignment horizontal="centerContinuous" vertical="top"/>
    </xf>
    <xf numFmtId="0" fontId="22" fillId="0" borderId="0" xfId="0" applyFont="1" applyAlignment="1" applyProtection="1">
      <alignment horizontal="centerContinuous"/>
    </xf>
    <xf numFmtId="0" fontId="4" fillId="0" borderId="0" xfId="0" applyFont="1" applyAlignment="1" applyProtection="1">
      <alignment horizontal="right"/>
    </xf>
    <xf numFmtId="0" fontId="3" fillId="0" borderId="3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left" vertical="top" wrapText="1"/>
    </xf>
    <xf numFmtId="0" fontId="7" fillId="0" borderId="0" xfId="0" applyFont="1" applyBorder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horizontal="left" vertical="top" wrapText="1" indent="1"/>
    </xf>
    <xf numFmtId="0" fontId="18" fillId="0" borderId="3" xfId="0" applyFont="1" applyBorder="1" applyAlignment="1" applyProtection="1">
      <alignment horizontal="left" vertical="top" wrapText="1" indent="1"/>
    </xf>
    <xf numFmtId="0" fontId="18" fillId="0" borderId="15" xfId="0" applyFont="1" applyBorder="1" applyAlignment="1" applyProtection="1">
      <alignment horizontal="left" vertical="top" wrapText="1" indent="1"/>
    </xf>
    <xf numFmtId="0" fontId="23" fillId="2" borderId="5" xfId="0" applyFont="1" applyFill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49" fontId="7" fillId="2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 wrapText="1"/>
    </xf>
    <xf numFmtId="0" fontId="7" fillId="0" borderId="9" xfId="0" applyFont="1" applyBorder="1" applyProtection="1">
      <alignment vertical="center"/>
    </xf>
    <xf numFmtId="0" fontId="7" fillId="0" borderId="11" xfId="0" applyFont="1" applyBorder="1" applyProtection="1">
      <alignment vertical="center"/>
    </xf>
    <xf numFmtId="0" fontId="7" fillId="0" borderId="13" xfId="0" applyFont="1" applyBorder="1" applyProtection="1">
      <alignment vertical="center"/>
    </xf>
    <xf numFmtId="0" fontId="4" fillId="0" borderId="0" xfId="0" applyFont="1" applyBorder="1" applyAlignment="1" applyProtection="1">
      <alignment horizontal="left" vertical="top" wrapText="1"/>
    </xf>
    <xf numFmtId="0" fontId="4" fillId="3" borderId="5" xfId="0" applyFont="1" applyFill="1" applyBorder="1" applyProtection="1">
      <alignment vertical="center"/>
    </xf>
    <xf numFmtId="49" fontId="3" fillId="2" borderId="5" xfId="0" applyNumberFormat="1" applyFont="1" applyFill="1" applyBorder="1" applyProtection="1">
      <alignment vertical="center"/>
      <protection locked="0"/>
    </xf>
    <xf numFmtId="0" fontId="24" fillId="0" borderId="0" xfId="0" applyFont="1" applyAlignment="1" applyProtection="1">
      <alignment horizontal="right" vertical="center"/>
    </xf>
    <xf numFmtId="0" fontId="24" fillId="0" borderId="2" xfId="0" applyFont="1" applyBorder="1" applyAlignment="1" applyProtection="1">
      <alignment horizontal="right" vertical="center"/>
    </xf>
    <xf numFmtId="0" fontId="24" fillId="0" borderId="5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top" wrapText="1"/>
    </xf>
    <xf numFmtId="0" fontId="18" fillId="0" borderId="3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left" vertical="top" wrapText="1"/>
    </xf>
    <xf numFmtId="176" fontId="14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left" vertical="center"/>
    </xf>
    <xf numFmtId="176" fontId="14" fillId="0" borderId="0" xfId="0" applyNumberFormat="1" applyFont="1" applyFill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0" fontId="7" fillId="0" borderId="7" xfId="0" applyFont="1" applyBorder="1" applyAlignment="1" applyProtection="1">
      <alignment horizontal="left" vertical="top" wrapText="1"/>
    </xf>
    <xf numFmtId="0" fontId="7" fillId="0" borderId="0" xfId="0" applyFont="1" applyFill="1" applyProtection="1">
      <alignment vertical="center"/>
    </xf>
    <xf numFmtId="0" fontId="25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5" fillId="0" borderId="0" xfId="0" applyFont="1" applyBorder="1" applyProtection="1">
      <alignment vertical="center"/>
    </xf>
    <xf numFmtId="0" fontId="25" fillId="0" borderId="0" xfId="0" applyFont="1" applyFill="1" applyProtection="1">
      <alignment vertical="center"/>
    </xf>
    <xf numFmtId="0" fontId="3" fillId="0" borderId="1" xfId="0" applyFont="1" applyFill="1" applyBorder="1" applyAlignment="1" applyProtection="1">
      <alignment horizontal="left" vertical="center" inden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 indent="1"/>
    </xf>
    <xf numFmtId="181" fontId="7" fillId="0" borderId="5" xfId="0" applyNumberFormat="1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0" fillId="0" borderId="12" xfId="0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left" vertical="top" wrapText="1"/>
    </xf>
    <xf numFmtId="176" fontId="14" fillId="0" borderId="0" xfId="0" applyNumberFormat="1" applyFont="1" applyFill="1" applyAlignment="1" applyProtection="1">
      <alignment vertical="center" wrapText="1"/>
    </xf>
    <xf numFmtId="0" fontId="4" fillId="3" borderId="0" xfId="0" applyFont="1" applyFill="1" applyAlignment="1" applyProtection="1">
      <alignment horizontal="center" vertical="center"/>
    </xf>
    <xf numFmtId="0" fontId="14" fillId="0" borderId="0" xfId="0" applyNumberFormat="1" applyFont="1" applyAlignment="1" applyProtection="1">
      <alignment horizontal="left" vertical="top" wrapText="1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/>
    </xf>
    <xf numFmtId="0" fontId="14" fillId="0" borderId="0" xfId="0" applyNumberFormat="1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top" wrapText="1"/>
    </xf>
    <xf numFmtId="0" fontId="3" fillId="0" borderId="11" xfId="0" applyFont="1" applyBorder="1" applyAlignment="1" applyProtection="1">
      <alignment vertical="center" wrapText="1"/>
    </xf>
    <xf numFmtId="0" fontId="14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left" vertical="center" wrapText="1"/>
    </xf>
    <xf numFmtId="0" fontId="4" fillId="3" borderId="10" xfId="0" applyFont="1" applyFill="1" applyBorder="1" applyProtection="1">
      <alignment vertical="center"/>
    </xf>
    <xf numFmtId="38" fontId="4" fillId="3" borderId="5" xfId="1" applyFont="1" applyFill="1" applyBorder="1" applyProtection="1">
      <alignment vertical="center"/>
    </xf>
    <xf numFmtId="0" fontId="4" fillId="4" borderId="0" xfId="0" applyFont="1" applyFill="1" applyProtection="1">
      <alignment vertical="center"/>
    </xf>
    <xf numFmtId="0" fontId="11" fillId="4" borderId="0" xfId="0" applyFont="1" applyFill="1" applyProtection="1">
      <alignment vertical="center"/>
    </xf>
    <xf numFmtId="0" fontId="4" fillId="4" borderId="0" xfId="0" applyNumberFormat="1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0" fontId="4" fillId="4" borderId="0" xfId="0" applyFont="1" applyFill="1" applyBorder="1" applyProtection="1">
      <alignment vertical="center"/>
    </xf>
    <xf numFmtId="38" fontId="4" fillId="4" borderId="0" xfId="1" applyFont="1" applyFill="1" applyProtection="1">
      <alignment vertical="center"/>
    </xf>
    <xf numFmtId="0" fontId="3" fillId="0" borderId="11" xfId="0" applyNumberFormat="1" applyFont="1" applyBorder="1" applyAlignment="1" applyProtection="1">
      <alignment vertical="center" wrapText="1"/>
    </xf>
    <xf numFmtId="0" fontId="3" fillId="0" borderId="0" xfId="0" applyNumberFormat="1" applyFont="1" applyBorder="1" applyAlignment="1" applyProtection="1">
      <alignment vertical="center" wrapText="1"/>
    </xf>
    <xf numFmtId="176" fontId="7" fillId="2" borderId="5" xfId="3" applyNumberFormat="1" applyFont="1" applyFill="1" applyBorder="1" applyAlignment="1" applyProtection="1">
      <alignment horizontal="center" vertical="center"/>
      <protection locked="0"/>
    </xf>
    <xf numFmtId="176" fontId="7" fillId="2" borderId="5" xfId="0" applyNumberFormat="1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0" fontId="7" fillId="0" borderId="7" xfId="0" applyFont="1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left" vertical="center"/>
    </xf>
    <xf numFmtId="0" fontId="0" fillId="0" borderId="2" xfId="0" applyBorder="1" applyAlignment="1" applyProtection="1">
      <alignment horizontal="left" vertical="top" wrapText="1"/>
    </xf>
    <xf numFmtId="178" fontId="3" fillId="0" borderId="0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top"/>
    </xf>
    <xf numFmtId="0" fontId="14" fillId="0" borderId="0" xfId="0" applyFont="1" applyBorder="1" applyAlignment="1" applyProtection="1">
      <alignment vertical="top" wrapText="1"/>
    </xf>
    <xf numFmtId="0" fontId="7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  <xf numFmtId="0" fontId="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7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 vertical="top" wrapText="1"/>
    </xf>
    <xf numFmtId="0" fontId="25" fillId="4" borderId="0" xfId="0" applyFont="1" applyFill="1" applyProtection="1">
      <alignment vertical="center"/>
    </xf>
    <xf numFmtId="0" fontId="2" fillId="4" borderId="0" xfId="0" applyFont="1" applyFill="1" applyProtection="1">
      <alignment vertical="center"/>
    </xf>
    <xf numFmtId="0" fontId="25" fillId="4" borderId="5" xfId="0" applyFont="1" applyFill="1" applyBorder="1" applyProtection="1">
      <alignment vertical="center"/>
    </xf>
    <xf numFmtId="0" fontId="25" fillId="4" borderId="6" xfId="0" applyFont="1" applyFill="1" applyBorder="1" applyProtection="1">
      <alignment vertical="center"/>
    </xf>
    <xf numFmtId="0" fontId="25" fillId="4" borderId="8" xfId="0" applyFont="1" applyFill="1" applyBorder="1" applyProtection="1">
      <alignment vertical="center"/>
    </xf>
    <xf numFmtId="0" fontId="25" fillId="4" borderId="0" xfId="0" applyFont="1" applyFill="1" applyBorder="1" applyProtection="1">
      <alignment vertical="center"/>
    </xf>
    <xf numFmtId="0" fontId="0" fillId="0" borderId="0" xfId="0" applyAlignment="1">
      <alignment horizontal="left" vertical="top" wrapText="1"/>
    </xf>
    <xf numFmtId="0" fontId="5" fillId="0" borderId="0" xfId="0" applyFont="1" applyBorder="1" applyAlignment="1" applyProtection="1">
      <alignment vertical="center"/>
    </xf>
    <xf numFmtId="9" fontId="5" fillId="5" borderId="8" xfId="0" applyNumberFormat="1" applyFont="1" applyFill="1" applyBorder="1" applyAlignment="1" applyProtection="1">
      <alignment horizontal="center" vertical="center"/>
      <protection locked="0"/>
    </xf>
    <xf numFmtId="57" fontId="25" fillId="4" borderId="0" xfId="0" applyNumberFormat="1" applyFont="1" applyFill="1" applyProtection="1">
      <alignment vertical="center"/>
    </xf>
    <xf numFmtId="177" fontId="10" fillId="2" borderId="5" xfId="0" applyNumberFormat="1" applyFont="1" applyFill="1" applyBorder="1" applyProtection="1">
      <alignment vertical="center"/>
      <protection locked="0"/>
    </xf>
    <xf numFmtId="0" fontId="3" fillId="0" borderId="13" xfId="0" applyFont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left" vertical="top" wrapText="1"/>
    </xf>
    <xf numFmtId="0" fontId="7" fillId="0" borderId="4" xfId="0" applyFont="1" applyBorder="1" applyAlignment="1" applyProtection="1">
      <alignment horizontal="left" vertical="top" wrapText="1"/>
    </xf>
    <xf numFmtId="0" fontId="2" fillId="0" borderId="5" xfId="0" applyNumberFormat="1" applyFont="1" applyBorder="1" applyAlignment="1" applyProtection="1">
      <alignment horizontal="left" vertical="center" wrapText="1"/>
    </xf>
    <xf numFmtId="0" fontId="25" fillId="0" borderId="5" xfId="0" applyNumberFormat="1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0" fillId="0" borderId="4" xfId="0" applyBorder="1" applyAlignment="1" applyProtection="1">
      <alignment vertical="center" wrapText="1"/>
    </xf>
    <xf numFmtId="0" fontId="16" fillId="0" borderId="3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4" fillId="0" borderId="9" xfId="0" applyFont="1" applyBorder="1" applyAlignment="1" applyProtection="1">
      <alignment horizontal="right" vertical="center" textRotation="255" wrapText="1"/>
    </xf>
    <xf numFmtId="0" fontId="4" fillId="0" borderId="9" xfId="0" applyFont="1" applyBorder="1" applyAlignment="1" applyProtection="1">
      <alignment horizontal="right" vertical="center" textRotation="255"/>
    </xf>
    <xf numFmtId="0" fontId="8" fillId="0" borderId="3" xfId="0" applyFont="1" applyBorder="1" applyAlignment="1" applyProtection="1">
      <alignment horizontal="left" vertical="top" wrapText="1"/>
    </xf>
    <xf numFmtId="0" fontId="8" fillId="0" borderId="2" xfId="0" applyFont="1" applyBorder="1" applyAlignment="1" applyProtection="1">
      <alignment horizontal="left" vertical="top" wrapText="1"/>
    </xf>
    <xf numFmtId="0" fontId="8" fillId="0" borderId="4" xfId="0" applyFont="1" applyBorder="1" applyAlignment="1" applyProtection="1">
      <alignment horizontal="left" vertical="top" wrapText="1"/>
    </xf>
    <xf numFmtId="0" fontId="7" fillId="0" borderId="5" xfId="0" applyFont="1" applyBorder="1" applyAlignment="1" applyProtection="1">
      <alignment vertical="top"/>
    </xf>
    <xf numFmtId="0" fontId="8" fillId="0" borderId="0" xfId="0" applyFont="1" applyAlignment="1" applyProtection="1">
      <alignment horizontal="left" vertical="top" wrapText="1"/>
    </xf>
    <xf numFmtId="0" fontId="7" fillId="0" borderId="0" xfId="0" applyFont="1" applyAlignment="1" applyProtection="1">
      <alignment horizontal="left" vertical="top" wrapText="1"/>
    </xf>
    <xf numFmtId="0" fontId="7" fillId="0" borderId="5" xfId="0" applyFont="1" applyBorder="1" applyAlignment="1" applyProtection="1">
      <alignment horizontal="left" vertical="top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4" fillId="4" borderId="0" xfId="0" applyFont="1" applyFill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top" wrapText="1"/>
    </xf>
    <xf numFmtId="0" fontId="0" fillId="0" borderId="0" xfId="0" applyAlignment="1" applyProtection="1">
      <alignment horizontal="right" vertical="top" wrapText="1"/>
    </xf>
    <xf numFmtId="0" fontId="3" fillId="0" borderId="5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/>
    </xf>
    <xf numFmtId="0" fontId="3" fillId="0" borderId="0" xfId="0" applyNumberFormat="1" applyFont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17" fillId="0" borderId="5" xfId="0" applyFont="1" applyBorder="1" applyAlignment="1" applyProtection="1">
      <alignment vertical="center" wrapText="1"/>
    </xf>
    <xf numFmtId="0" fontId="0" fillId="0" borderId="5" xfId="0" applyBorder="1" applyAlignment="1" applyProtection="1">
      <alignment vertical="center"/>
    </xf>
    <xf numFmtId="0" fontId="14" fillId="0" borderId="5" xfId="0" applyFont="1" applyBorder="1" applyAlignment="1" applyProtection="1">
      <alignment vertical="center"/>
    </xf>
    <xf numFmtId="0" fontId="18" fillId="0" borderId="3" xfId="0" applyFont="1" applyBorder="1" applyAlignment="1" applyProtection="1">
      <alignment horizontal="left" vertical="top"/>
    </xf>
    <xf numFmtId="0" fontId="14" fillId="0" borderId="5" xfId="0" applyFont="1" applyBorder="1" applyAlignment="1" applyProtection="1">
      <alignment horizontal="left" vertical="top" wrapText="1"/>
    </xf>
    <xf numFmtId="0" fontId="0" fillId="0" borderId="5" xfId="0" applyBorder="1" applyAlignment="1" applyProtection="1">
      <alignment horizontal="left" vertical="top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82" fontId="4" fillId="2" borderId="1" xfId="0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 wrapText="1"/>
    </xf>
    <xf numFmtId="0" fontId="3" fillId="0" borderId="3" xfId="0" applyFont="1" applyBorder="1" applyAlignment="1" applyProtection="1">
      <alignment horizontal="center" vertical="top"/>
    </xf>
    <xf numFmtId="0" fontId="3" fillId="0" borderId="2" xfId="0" applyFont="1" applyBorder="1" applyAlignment="1" applyProtection="1">
      <alignment horizontal="center" vertical="top"/>
    </xf>
    <xf numFmtId="0" fontId="7" fillId="0" borderId="2" xfId="0" applyFont="1" applyBorder="1" applyAlignment="1" applyProtection="1">
      <alignment horizontal="center" vertical="top"/>
    </xf>
    <xf numFmtId="0" fontId="7" fillId="0" borderId="4" xfId="0" applyFont="1" applyBorder="1" applyAlignment="1" applyProtection="1">
      <alignment horizontal="center" vertical="top"/>
    </xf>
    <xf numFmtId="0" fontId="3" fillId="0" borderId="15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0" fontId="7" fillId="0" borderId="7" xfId="0" applyFont="1" applyBorder="1" applyAlignment="1" applyProtection="1">
      <alignment horizontal="left" vertical="top" wrapText="1"/>
    </xf>
    <xf numFmtId="0" fontId="0" fillId="0" borderId="14" xfId="0" applyBorder="1" applyAlignment="1" applyProtection="1">
      <alignment vertical="center" wrapText="1"/>
    </xf>
    <xf numFmtId="0" fontId="0" fillId="0" borderId="2" xfId="0" applyBorder="1" applyAlignment="1">
      <alignment horizontal="left" vertical="center" wrapText="1"/>
    </xf>
    <xf numFmtId="0" fontId="5" fillId="0" borderId="6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3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1" xfId="0" applyFont="1" applyBorder="1" applyAlignment="1" applyProtection="1">
      <alignment vertical="center"/>
    </xf>
    <xf numFmtId="0" fontId="0" fillId="0" borderId="13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22"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strike val="0"/>
      </font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strike val="0"/>
      </font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</dxfs>
  <tableStyles count="0" defaultTableStyle="TableStyleMedium2"/>
  <colors>
    <mruColors>
      <color rgb="FF0000FF"/>
      <color rgb="FFFF99CC"/>
      <color rgb="FFFF93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440100</xdr:colOff>
      <xdr:row>75</xdr:row>
      <xdr:rowOff>114300</xdr:rowOff>
    </xdr:from>
    <xdr:to>
      <xdr:col>6</xdr:col>
      <xdr:colOff>800100</xdr:colOff>
      <xdr:row>76</xdr:row>
      <xdr:rowOff>104775</xdr:rowOff>
    </xdr:to>
    <xdr:sp macro="" textlink="">
      <xdr:nvSpPr>
        <xdr:cNvPr id="2" name="右矢印 1"/>
        <xdr:cNvSpPr/>
      </xdr:nvSpPr>
      <xdr:spPr>
        <a:xfrm>
          <a:off x="5783625" y="21650325"/>
          <a:ext cx="360000" cy="371475"/>
        </a:xfrm>
        <a:prstGeom prst="rightArrow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645582</xdr:colOff>
      <xdr:row>14</xdr:row>
      <xdr:rowOff>10583</xdr:rowOff>
    </xdr:from>
    <xdr:to>
      <xdr:col>7</xdr:col>
      <xdr:colOff>893301</xdr:colOff>
      <xdr:row>15</xdr:row>
      <xdr:rowOff>148166</xdr:rowOff>
    </xdr:to>
    <xdr:sp macro="" textlink="">
      <xdr:nvSpPr>
        <xdr:cNvPr id="3" name="テキスト ボックス 2"/>
        <xdr:cNvSpPr txBox="1"/>
      </xdr:nvSpPr>
      <xdr:spPr>
        <a:xfrm>
          <a:off x="4921249" y="2550583"/>
          <a:ext cx="2692469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1</a:t>
          </a:r>
          <a:r>
            <a:rPr kumimoji="1" lang="ja-JP" altLang="en-US" sz="900"/>
            <a:t>  単電池の定格容量、単電池の公称電圧</a:t>
          </a:r>
          <a:endParaRPr kumimoji="1" lang="en-US" altLang="ja-JP" sz="900"/>
        </a:p>
        <a:p>
          <a:r>
            <a:rPr kumimoji="1" lang="ja-JP" altLang="en-US" sz="900"/>
            <a:t>　　　及び使用する単電池の数の積。</a:t>
          </a:r>
        </a:p>
      </xdr:txBody>
    </xdr:sp>
    <xdr:clientData/>
  </xdr:twoCellAnchor>
  <xdr:twoCellAnchor>
    <xdr:from>
      <xdr:col>5</xdr:col>
      <xdr:colOff>649816</xdr:colOff>
      <xdr:row>15</xdr:row>
      <xdr:rowOff>57149</xdr:rowOff>
    </xdr:from>
    <xdr:to>
      <xdr:col>7</xdr:col>
      <xdr:colOff>920750</xdr:colOff>
      <xdr:row>16</xdr:row>
      <xdr:rowOff>179916</xdr:rowOff>
    </xdr:to>
    <xdr:sp macro="" textlink="">
      <xdr:nvSpPr>
        <xdr:cNvPr id="5" name="テキスト ボックス 4"/>
        <xdr:cNvSpPr txBox="1"/>
      </xdr:nvSpPr>
      <xdr:spPr>
        <a:xfrm>
          <a:off x="4925483" y="2935816"/>
          <a:ext cx="2715684" cy="461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2</a:t>
          </a:r>
          <a:r>
            <a:rPr kumimoji="1" lang="ja-JP" altLang="en-US" sz="900"/>
            <a:t> 単電池の定格容量、使用する単電池の</a:t>
          </a:r>
          <a:endParaRPr kumimoji="1" lang="en-US" altLang="ja-JP" sz="900"/>
        </a:p>
        <a:p>
          <a:r>
            <a:rPr kumimoji="1" lang="ja-JP" altLang="en-US" sz="900"/>
            <a:t>　　　数の積。</a:t>
          </a:r>
        </a:p>
      </xdr:txBody>
    </xdr:sp>
    <xdr:clientData/>
  </xdr:twoCellAnchor>
  <xdr:twoCellAnchor>
    <xdr:from>
      <xdr:col>5</xdr:col>
      <xdr:colOff>645584</xdr:colOff>
      <xdr:row>17</xdr:row>
      <xdr:rowOff>127000</xdr:rowOff>
    </xdr:from>
    <xdr:to>
      <xdr:col>7</xdr:col>
      <xdr:colOff>916518</xdr:colOff>
      <xdr:row>18</xdr:row>
      <xdr:rowOff>63500</xdr:rowOff>
    </xdr:to>
    <xdr:sp macro="" textlink="">
      <xdr:nvSpPr>
        <xdr:cNvPr id="7" name="テキスト ボックス 6"/>
        <xdr:cNvSpPr txBox="1"/>
      </xdr:nvSpPr>
      <xdr:spPr>
        <a:xfrm>
          <a:off x="4921251" y="3683000"/>
          <a:ext cx="2715684" cy="275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3</a:t>
          </a:r>
          <a:r>
            <a:rPr kumimoji="1" lang="ja-JP" altLang="en-US" sz="900"/>
            <a:t> 家庭用／業務用産業用の区分</a:t>
          </a:r>
        </a:p>
      </xdr:txBody>
    </xdr:sp>
    <xdr:clientData/>
  </xdr:twoCellAnchor>
  <xdr:twoCellAnchor>
    <xdr:from>
      <xdr:col>5</xdr:col>
      <xdr:colOff>649817</xdr:colOff>
      <xdr:row>20</xdr:row>
      <xdr:rowOff>4236</xdr:rowOff>
    </xdr:from>
    <xdr:to>
      <xdr:col>7</xdr:col>
      <xdr:colOff>920751</xdr:colOff>
      <xdr:row>22</xdr:row>
      <xdr:rowOff>52917</xdr:rowOff>
    </xdr:to>
    <xdr:sp macro="" textlink="">
      <xdr:nvSpPr>
        <xdr:cNvPr id="9" name="テキスト ボックス 8"/>
        <xdr:cNvSpPr txBox="1"/>
      </xdr:nvSpPr>
      <xdr:spPr>
        <a:xfrm>
          <a:off x="4925484" y="4766736"/>
          <a:ext cx="2715684" cy="503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4</a:t>
          </a:r>
          <a:r>
            <a:rPr kumimoji="1" lang="ja-JP" altLang="en-US" sz="900"/>
            <a:t> 家庭用の場合、メーカー保証書の保証</a:t>
          </a:r>
          <a:endParaRPr kumimoji="1" lang="en-US" altLang="ja-JP" sz="900"/>
        </a:p>
        <a:p>
          <a:r>
            <a:rPr kumimoji="1" lang="ja-JP" altLang="en-US" sz="900"/>
            <a:t>　　　年数を記載のこと。</a:t>
          </a:r>
        </a:p>
      </xdr:txBody>
    </xdr:sp>
    <xdr:clientData/>
  </xdr:twoCellAnchor>
  <xdr:twoCellAnchor editAs="oneCell">
    <xdr:from>
      <xdr:col>5</xdr:col>
      <xdr:colOff>772582</xdr:colOff>
      <xdr:row>18</xdr:row>
      <xdr:rowOff>0</xdr:rowOff>
    </xdr:from>
    <xdr:to>
      <xdr:col>7</xdr:col>
      <xdr:colOff>963083</xdr:colOff>
      <xdr:row>19</xdr:row>
      <xdr:rowOff>500592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49" y="3894667"/>
          <a:ext cx="2635251" cy="839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440100</xdr:colOff>
      <xdr:row>73</xdr:row>
      <xdr:rowOff>114300</xdr:rowOff>
    </xdr:from>
    <xdr:to>
      <xdr:col>6</xdr:col>
      <xdr:colOff>800100</xdr:colOff>
      <xdr:row>74</xdr:row>
      <xdr:rowOff>104775</xdr:rowOff>
    </xdr:to>
    <xdr:sp macro="" textlink="">
      <xdr:nvSpPr>
        <xdr:cNvPr id="2" name="右矢印 1"/>
        <xdr:cNvSpPr/>
      </xdr:nvSpPr>
      <xdr:spPr>
        <a:xfrm>
          <a:off x="4554900" y="11772900"/>
          <a:ext cx="245700" cy="161925"/>
        </a:xfrm>
        <a:prstGeom prst="rightArrow">
          <a:avLst/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645583</xdr:colOff>
      <xdr:row>13</xdr:row>
      <xdr:rowOff>10583</xdr:rowOff>
    </xdr:from>
    <xdr:to>
      <xdr:col>7</xdr:col>
      <xdr:colOff>893302</xdr:colOff>
      <xdr:row>14</xdr:row>
      <xdr:rowOff>148166</xdr:rowOff>
    </xdr:to>
    <xdr:sp macro="" textlink="">
      <xdr:nvSpPr>
        <xdr:cNvPr id="3" name="テキスト ボックス 2"/>
        <xdr:cNvSpPr txBox="1"/>
      </xdr:nvSpPr>
      <xdr:spPr>
        <a:xfrm>
          <a:off x="4074583" y="2239433"/>
          <a:ext cx="1409769" cy="3090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1</a:t>
          </a:r>
          <a:r>
            <a:rPr kumimoji="1" lang="ja-JP" altLang="en-US" sz="900"/>
            <a:t>  単電池の定格容量、単電池の公称電圧</a:t>
          </a:r>
          <a:endParaRPr kumimoji="1" lang="en-US" altLang="ja-JP" sz="900"/>
        </a:p>
        <a:p>
          <a:r>
            <a:rPr kumimoji="1" lang="ja-JP" altLang="en-US" sz="900"/>
            <a:t>　　　及び使用する単電池の数の積。</a:t>
          </a:r>
        </a:p>
      </xdr:txBody>
    </xdr:sp>
    <xdr:clientData/>
  </xdr:twoCellAnchor>
  <xdr:twoCellAnchor>
    <xdr:from>
      <xdr:col>5</xdr:col>
      <xdr:colOff>649817</xdr:colOff>
      <xdr:row>14</xdr:row>
      <xdr:rowOff>57149</xdr:rowOff>
    </xdr:from>
    <xdr:to>
      <xdr:col>7</xdr:col>
      <xdr:colOff>920751</xdr:colOff>
      <xdr:row>15</xdr:row>
      <xdr:rowOff>179916</xdr:rowOff>
    </xdr:to>
    <xdr:sp macro="" textlink="">
      <xdr:nvSpPr>
        <xdr:cNvPr id="4" name="テキスト ボックス 3"/>
        <xdr:cNvSpPr txBox="1"/>
      </xdr:nvSpPr>
      <xdr:spPr>
        <a:xfrm>
          <a:off x="4078817" y="2457449"/>
          <a:ext cx="1404409" cy="284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2</a:t>
          </a:r>
          <a:r>
            <a:rPr kumimoji="1" lang="ja-JP" altLang="en-US" sz="900"/>
            <a:t> 単電池の定格容量、使用する単電池の</a:t>
          </a:r>
          <a:endParaRPr kumimoji="1" lang="en-US" altLang="ja-JP" sz="900"/>
        </a:p>
        <a:p>
          <a:r>
            <a:rPr kumimoji="1" lang="ja-JP" altLang="en-US" sz="900"/>
            <a:t>　　　数の積。</a:t>
          </a:r>
        </a:p>
      </xdr:txBody>
    </xdr:sp>
    <xdr:clientData/>
  </xdr:twoCellAnchor>
  <xdr:twoCellAnchor>
    <xdr:from>
      <xdr:col>5</xdr:col>
      <xdr:colOff>645585</xdr:colOff>
      <xdr:row>16</xdr:row>
      <xdr:rowOff>127000</xdr:rowOff>
    </xdr:from>
    <xdr:to>
      <xdr:col>7</xdr:col>
      <xdr:colOff>916519</xdr:colOff>
      <xdr:row>17</xdr:row>
      <xdr:rowOff>63500</xdr:rowOff>
    </xdr:to>
    <xdr:sp macro="" textlink="">
      <xdr:nvSpPr>
        <xdr:cNvPr id="5" name="テキスト ボックス 4"/>
        <xdr:cNvSpPr txBox="1"/>
      </xdr:nvSpPr>
      <xdr:spPr>
        <a:xfrm>
          <a:off x="4074585" y="2870200"/>
          <a:ext cx="1413934" cy="107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3</a:t>
          </a:r>
          <a:r>
            <a:rPr kumimoji="1" lang="ja-JP" altLang="en-US" sz="900"/>
            <a:t> 家庭用／業務用産業用の区分</a:t>
          </a:r>
        </a:p>
      </xdr:txBody>
    </xdr:sp>
    <xdr:clientData/>
  </xdr:twoCellAnchor>
  <xdr:twoCellAnchor>
    <xdr:from>
      <xdr:col>5</xdr:col>
      <xdr:colOff>649818</xdr:colOff>
      <xdr:row>19</xdr:row>
      <xdr:rowOff>4236</xdr:rowOff>
    </xdr:from>
    <xdr:to>
      <xdr:col>7</xdr:col>
      <xdr:colOff>920752</xdr:colOff>
      <xdr:row>21</xdr:row>
      <xdr:rowOff>52917</xdr:rowOff>
    </xdr:to>
    <xdr:sp macro="" textlink="">
      <xdr:nvSpPr>
        <xdr:cNvPr id="6" name="テキスト ボックス 5"/>
        <xdr:cNvSpPr txBox="1"/>
      </xdr:nvSpPr>
      <xdr:spPr>
        <a:xfrm>
          <a:off x="4078818" y="3261786"/>
          <a:ext cx="1404409" cy="3915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＊</a:t>
          </a:r>
          <a:r>
            <a:rPr kumimoji="1" lang="en-US" altLang="ja-JP" sz="900"/>
            <a:t>4</a:t>
          </a:r>
          <a:r>
            <a:rPr kumimoji="1" lang="ja-JP" altLang="en-US" sz="900"/>
            <a:t> 家庭用の場合、メーカー保証書の保証</a:t>
          </a:r>
          <a:endParaRPr kumimoji="1" lang="en-US" altLang="ja-JP" sz="900"/>
        </a:p>
        <a:p>
          <a:r>
            <a:rPr kumimoji="1" lang="ja-JP" altLang="en-US" sz="900"/>
            <a:t>　　　年数を記載のこと。</a:t>
          </a:r>
        </a:p>
      </xdr:txBody>
    </xdr:sp>
    <xdr:clientData/>
  </xdr:twoCellAnchor>
  <xdr:oneCellAnchor>
    <xdr:from>
      <xdr:col>5</xdr:col>
      <xdr:colOff>772583</xdr:colOff>
      <xdr:row>17</xdr:row>
      <xdr:rowOff>0</xdr:rowOff>
    </xdr:from>
    <xdr:ext cx="2635251" cy="839258"/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5858" y="2914650"/>
          <a:ext cx="2635251" cy="839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t"/>
      <a:lstStyle>
        <a:defPPr>
          <a:defRPr kumimoji="1" sz="9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0"/>
  <sheetViews>
    <sheetView showZeros="0" zoomScale="110" zoomScaleNormal="110" workbookViewId="0">
      <selection activeCell="H57" sqref="H57"/>
    </sheetView>
  </sheetViews>
  <sheetFormatPr defaultColWidth="9" defaultRowHeight="13.5" x14ac:dyDescent="0.15"/>
  <cols>
    <col min="1" max="1" width="2.875" style="11" customWidth="1"/>
    <col min="2" max="2" width="17.75" style="11" customWidth="1"/>
    <col min="3" max="4" width="3.125" style="11" customWidth="1"/>
    <col min="5" max="5" width="29" style="11" customWidth="1"/>
    <col min="6" max="6" width="14.25" style="11" customWidth="1"/>
    <col min="7" max="7" width="17.75" style="11" customWidth="1"/>
    <col min="8" max="8" width="12.875" style="11" customWidth="1"/>
    <col min="9" max="9" width="4.875" style="8" customWidth="1"/>
    <col min="10" max="10" width="4.125" style="2" customWidth="1"/>
    <col min="11" max="12" width="9" style="8" hidden="1" customWidth="1"/>
    <col min="13" max="13" width="4.125" style="2" hidden="1" customWidth="1"/>
    <col min="14" max="15" width="7.75" style="170" hidden="1" customWidth="1"/>
    <col min="16" max="16" width="14.125" style="105" customWidth="1"/>
    <col min="17" max="17" width="10" style="105" customWidth="1"/>
    <col min="18" max="16384" width="9" style="2"/>
  </cols>
  <sheetData>
    <row r="1" spans="1:14" ht="19.5" customHeight="1" x14ac:dyDescent="0.15">
      <c r="A1" s="11" t="s">
        <v>124</v>
      </c>
      <c r="G1" s="66" t="s">
        <v>123</v>
      </c>
      <c r="H1" s="236"/>
      <c r="I1" s="236"/>
      <c r="K1" s="214" t="s">
        <v>122</v>
      </c>
      <c r="L1" s="214"/>
      <c r="N1" s="179" t="s">
        <v>236</v>
      </c>
    </row>
    <row r="2" spans="1:14" ht="23.25" customHeight="1" x14ac:dyDescent="0.15">
      <c r="A2" s="65" t="s">
        <v>209</v>
      </c>
      <c r="B2" s="65"/>
      <c r="C2" s="64"/>
      <c r="D2" s="64"/>
      <c r="E2" s="64"/>
      <c r="F2" s="64"/>
      <c r="G2" s="64"/>
      <c r="H2" s="63"/>
      <c r="I2" s="63"/>
      <c r="K2" s="136"/>
      <c r="L2" s="136"/>
    </row>
    <row r="3" spans="1:14" ht="6" customHeight="1" x14ac:dyDescent="0.15">
      <c r="A3" s="65"/>
      <c r="B3" s="65"/>
      <c r="C3" s="64"/>
      <c r="D3" s="64"/>
      <c r="E3" s="64"/>
      <c r="F3" s="64"/>
      <c r="G3" s="64"/>
      <c r="H3" s="63"/>
      <c r="I3" s="63"/>
      <c r="K3" s="136"/>
      <c r="L3" s="136"/>
    </row>
    <row r="4" spans="1:14" ht="16.5" customHeight="1" x14ac:dyDescent="0.15">
      <c r="A4" s="109" t="s">
        <v>234</v>
      </c>
      <c r="B4" s="109"/>
      <c r="C4" s="110" t="s">
        <v>120</v>
      </c>
      <c r="D4" s="232"/>
      <c r="E4" s="233"/>
      <c r="F4" s="233"/>
      <c r="G4" s="64"/>
      <c r="H4" s="63"/>
      <c r="I4" s="63"/>
      <c r="K4" s="136"/>
      <c r="L4" s="136"/>
    </row>
    <row r="5" spans="1:14" ht="16.5" customHeight="1" x14ac:dyDescent="0.15">
      <c r="A5" s="111" t="s">
        <v>121</v>
      </c>
      <c r="B5" s="109"/>
      <c r="C5" s="110" t="s">
        <v>120</v>
      </c>
      <c r="D5" s="234"/>
      <c r="E5" s="235"/>
      <c r="F5" s="235"/>
      <c r="G5" s="64"/>
      <c r="H5" s="63"/>
      <c r="I5" s="63"/>
      <c r="K5" s="136"/>
      <c r="L5" s="136"/>
    </row>
    <row r="6" spans="1:14" ht="6" customHeight="1" x14ac:dyDescent="0.15">
      <c r="A6" s="62"/>
      <c r="B6" s="62"/>
      <c r="C6" s="62"/>
      <c r="D6" s="62"/>
      <c r="E6" s="62"/>
      <c r="F6" s="62"/>
      <c r="G6" s="62"/>
      <c r="H6" s="8"/>
      <c r="K6" s="136"/>
      <c r="L6" s="136"/>
    </row>
    <row r="7" spans="1:14" x14ac:dyDescent="0.15">
      <c r="A7" s="11" t="s">
        <v>141</v>
      </c>
      <c r="K7" s="136"/>
      <c r="L7" s="136"/>
    </row>
    <row r="8" spans="1:14" ht="14.25" thickBot="1" x14ac:dyDescent="0.2">
      <c r="K8" s="136"/>
      <c r="L8" s="136"/>
    </row>
    <row r="9" spans="1:14" ht="15" customHeight="1" x14ac:dyDescent="0.15">
      <c r="A9" s="61" t="s">
        <v>152</v>
      </c>
      <c r="B9" s="61"/>
      <c r="C9" s="61"/>
      <c r="D9" s="61"/>
      <c r="E9" s="61"/>
      <c r="F9" s="61"/>
      <c r="G9" s="87" t="s">
        <v>135</v>
      </c>
      <c r="H9" s="76"/>
      <c r="K9" s="120" t="str">
        <f>IF(H9=1,"第1号",IF(H9=6,"第6号",""))</f>
        <v/>
      </c>
      <c r="L9" s="122" t="s">
        <v>119</v>
      </c>
    </row>
    <row r="10" spans="1:14" ht="15" customHeight="1" x14ac:dyDescent="0.15">
      <c r="A10" s="61" t="s">
        <v>118</v>
      </c>
      <c r="B10" s="61"/>
      <c r="C10" s="61"/>
      <c r="D10" s="61"/>
      <c r="E10" s="61"/>
      <c r="F10" s="61"/>
      <c r="G10" s="87" t="s">
        <v>135</v>
      </c>
      <c r="H10" s="76"/>
      <c r="K10" s="136"/>
      <c r="L10" s="123">
        <v>1</v>
      </c>
      <c r="N10" s="171"/>
    </row>
    <row r="11" spans="1:14" ht="14.25" thickBot="1" x14ac:dyDescent="0.2">
      <c r="K11" s="136"/>
      <c r="L11" s="124">
        <v>2</v>
      </c>
    </row>
    <row r="12" spans="1:14" x14ac:dyDescent="0.15">
      <c r="A12" s="41" t="s">
        <v>117</v>
      </c>
      <c r="B12" s="41"/>
      <c r="C12" s="41"/>
      <c r="D12" s="41"/>
      <c r="K12" s="136"/>
      <c r="L12" s="122" t="s">
        <v>116</v>
      </c>
    </row>
    <row r="13" spans="1:14" ht="14.25" thickBot="1" x14ac:dyDescent="0.2">
      <c r="A13" s="11" t="s">
        <v>115</v>
      </c>
      <c r="K13" s="136"/>
      <c r="L13" s="124">
        <v>3</v>
      </c>
    </row>
    <row r="14" spans="1:14" x14ac:dyDescent="0.15">
      <c r="E14" s="41" t="s">
        <v>114</v>
      </c>
      <c r="G14" s="1"/>
      <c r="H14" s="1"/>
      <c r="I14" s="8" t="s">
        <v>1</v>
      </c>
      <c r="K14" s="136"/>
      <c r="L14" s="136"/>
    </row>
    <row r="15" spans="1:14" ht="26.25" customHeight="1" x14ac:dyDescent="0.15">
      <c r="A15" s="215" t="s">
        <v>154</v>
      </c>
      <c r="B15" s="216"/>
      <c r="C15" s="216"/>
      <c r="D15" s="217"/>
      <c r="E15" s="145"/>
      <c r="F15" s="125" t="s">
        <v>142</v>
      </c>
      <c r="G15" s="1"/>
      <c r="H15" s="1"/>
      <c r="I15" s="10" t="s">
        <v>0</v>
      </c>
      <c r="K15" s="136"/>
      <c r="L15" s="136" t="str">
        <f>IF(E15="","",IF(E15&lt;3,1,2))</f>
        <v/>
      </c>
    </row>
    <row r="16" spans="1:14" ht="26.25" customHeight="1" x14ac:dyDescent="0.15">
      <c r="A16" s="215" t="s">
        <v>157</v>
      </c>
      <c r="B16" s="216"/>
      <c r="C16" s="216"/>
      <c r="D16" s="217"/>
      <c r="E16" s="144"/>
      <c r="F16" s="129" t="s">
        <v>143</v>
      </c>
      <c r="G16" s="1"/>
      <c r="H16" s="1"/>
      <c r="I16" s="10" t="s">
        <v>144</v>
      </c>
      <c r="K16" s="136"/>
      <c r="L16" s="136"/>
    </row>
    <row r="17" spans="1:15" ht="26.25" customHeight="1" x14ac:dyDescent="0.15">
      <c r="A17" s="220" t="s">
        <v>146</v>
      </c>
      <c r="B17" s="221"/>
      <c r="C17" s="221"/>
      <c r="D17" s="221"/>
      <c r="E17" s="144"/>
      <c r="F17" s="39" t="s">
        <v>112</v>
      </c>
      <c r="G17" s="1"/>
      <c r="H17" s="1"/>
      <c r="I17" s="10" t="s">
        <v>113</v>
      </c>
      <c r="K17" s="136"/>
      <c r="L17" s="136" t="str">
        <f>IF(E17="","",IF(E17&lt;1000,1,2))</f>
        <v/>
      </c>
      <c r="N17" s="172">
        <v>1</v>
      </c>
      <c r="O17" s="172">
        <v>2</v>
      </c>
    </row>
    <row r="18" spans="1:15" ht="26.25" customHeight="1" thickBot="1" x14ac:dyDescent="0.2">
      <c r="A18" s="220" t="s">
        <v>147</v>
      </c>
      <c r="B18" s="221"/>
      <c r="C18" s="221"/>
      <c r="D18" s="221"/>
      <c r="E18" s="145"/>
      <c r="F18" s="39" t="s">
        <v>112</v>
      </c>
      <c r="G18" s="1"/>
      <c r="H18" s="1"/>
      <c r="I18" s="10" t="s">
        <v>111</v>
      </c>
      <c r="K18" s="136"/>
      <c r="L18" s="136"/>
      <c r="N18" s="172">
        <v>3</v>
      </c>
      <c r="O18" s="173">
        <v>4</v>
      </c>
    </row>
    <row r="19" spans="1:15" ht="26.25" customHeight="1" thickBot="1" x14ac:dyDescent="0.2">
      <c r="A19" s="220" t="s">
        <v>148</v>
      </c>
      <c r="B19" s="221"/>
      <c r="C19" s="221"/>
      <c r="D19" s="221"/>
      <c r="E19" s="112">
        <f>IF(E17=0,0,E15/E17)</f>
        <v>0</v>
      </c>
      <c r="F19" s="133" t="s">
        <v>149</v>
      </c>
      <c r="G19" s="1"/>
      <c r="H19" s="1"/>
      <c r="I19" s="10" t="s">
        <v>5</v>
      </c>
      <c r="K19" s="136"/>
      <c r="L19" s="136"/>
      <c r="O19" s="174" t="e">
        <f>INDEX(N17:O18,L15,L17)</f>
        <v>#VALUE!</v>
      </c>
    </row>
    <row r="20" spans="1:15" ht="42" customHeight="1" x14ac:dyDescent="0.15">
      <c r="A20" s="220" t="s">
        <v>153</v>
      </c>
      <c r="B20" s="221"/>
      <c r="C20" s="221"/>
      <c r="D20" s="221"/>
      <c r="E20" s="60" t="str">
        <f>IF(OR(E16=0,E19=0),"",IF(AND(E16&lt;4800,E19&gt;=2),"家庭用","業務用産業用"))</f>
        <v/>
      </c>
      <c r="F20" s="131" t="s">
        <v>145</v>
      </c>
      <c r="G20" s="132"/>
      <c r="H20" s="130"/>
      <c r="I20" s="10" t="s">
        <v>110</v>
      </c>
      <c r="K20" s="136"/>
      <c r="L20" s="137"/>
    </row>
    <row r="21" spans="1:15" ht="26.25" customHeight="1" x14ac:dyDescent="0.15">
      <c r="A21" s="220" t="s">
        <v>156</v>
      </c>
      <c r="B21" s="221"/>
      <c r="C21" s="221"/>
      <c r="D21" s="221"/>
      <c r="E21" s="79"/>
      <c r="F21" s="142" t="s">
        <v>155</v>
      </c>
      <c r="G21" s="143"/>
      <c r="H21" s="143"/>
      <c r="I21" s="10" t="s">
        <v>109</v>
      </c>
      <c r="K21" s="138"/>
      <c r="L21" s="136"/>
      <c r="N21" s="171"/>
    </row>
    <row r="22" spans="1:15" ht="9" customHeight="1" x14ac:dyDescent="0.15">
      <c r="A22" s="126"/>
      <c r="B22" s="127"/>
      <c r="C22" s="127"/>
      <c r="D22" s="127"/>
      <c r="E22" s="128"/>
      <c r="F22" s="128"/>
      <c r="G22" s="121"/>
      <c r="H22" s="121"/>
      <c r="I22" s="10"/>
      <c r="K22" s="138"/>
      <c r="L22" s="136"/>
      <c r="N22" s="171"/>
    </row>
    <row r="23" spans="1:15" x14ac:dyDescent="0.15">
      <c r="A23" s="41" t="s">
        <v>108</v>
      </c>
      <c r="B23" s="41"/>
      <c r="C23" s="41"/>
      <c r="D23" s="41"/>
      <c r="K23" s="136"/>
      <c r="L23" s="136"/>
      <c r="N23" s="171"/>
    </row>
    <row r="24" spans="1:15" ht="25.5" customHeight="1" x14ac:dyDescent="0.15">
      <c r="A24" s="222" t="s">
        <v>107</v>
      </c>
      <c r="B24" s="222"/>
      <c r="C24" s="222"/>
      <c r="D24" s="222"/>
      <c r="E24" s="222"/>
      <c r="F24" s="222"/>
      <c r="G24" s="222"/>
      <c r="H24" s="222"/>
      <c r="K24" s="136"/>
      <c r="L24" s="136"/>
    </row>
    <row r="25" spans="1:15" ht="30" customHeight="1" x14ac:dyDescent="0.15">
      <c r="A25" s="223" t="s">
        <v>2</v>
      </c>
      <c r="B25" s="224"/>
      <c r="C25" s="224"/>
      <c r="D25" s="225"/>
      <c r="E25" s="100" t="s">
        <v>106</v>
      </c>
      <c r="F25" s="3" t="s">
        <v>105</v>
      </c>
      <c r="G25" s="92" t="s">
        <v>104</v>
      </c>
      <c r="H25" s="92" t="s">
        <v>103</v>
      </c>
      <c r="K25" s="136"/>
      <c r="L25" s="136"/>
    </row>
    <row r="26" spans="1:15" ht="20.25" customHeight="1" x14ac:dyDescent="0.15">
      <c r="A26" s="226" t="s">
        <v>134</v>
      </c>
      <c r="B26" s="227"/>
      <c r="C26" s="227"/>
      <c r="D26" s="227"/>
      <c r="E26" s="91" t="s">
        <v>102</v>
      </c>
      <c r="F26" s="86"/>
      <c r="G26" s="58"/>
      <c r="H26" s="57">
        <f>ROUNDDOWN(G26,0)</f>
        <v>0</v>
      </c>
      <c r="K26" s="136"/>
      <c r="L26" s="136"/>
    </row>
    <row r="27" spans="1:15" ht="20.25" customHeight="1" x14ac:dyDescent="0.15">
      <c r="A27" s="226"/>
      <c r="B27" s="227"/>
      <c r="C27" s="227"/>
      <c r="D27" s="227"/>
      <c r="E27" s="229" t="s">
        <v>101</v>
      </c>
      <c r="F27" s="224"/>
      <c r="G27" s="224"/>
      <c r="H27" s="225"/>
      <c r="K27" s="136"/>
      <c r="L27" s="136"/>
    </row>
    <row r="28" spans="1:15" ht="20.25" customHeight="1" x14ac:dyDescent="0.15">
      <c r="A28" s="228"/>
      <c r="B28" s="227"/>
      <c r="C28" s="227"/>
      <c r="D28" s="227"/>
      <c r="E28" s="73" t="s">
        <v>100</v>
      </c>
      <c r="F28" s="86"/>
      <c r="G28" s="58"/>
      <c r="H28" s="57">
        <f>ROUNDDOWN(G28,0)</f>
        <v>0</v>
      </c>
      <c r="K28" s="136"/>
      <c r="L28" s="136"/>
    </row>
    <row r="29" spans="1:15" ht="25.5" customHeight="1" x14ac:dyDescent="0.15">
      <c r="A29" s="228"/>
      <c r="B29" s="227"/>
      <c r="C29" s="227"/>
      <c r="D29" s="227"/>
      <c r="E29" s="74" t="s">
        <v>99</v>
      </c>
      <c r="F29" s="86"/>
      <c r="G29" s="58"/>
      <c r="H29" s="57">
        <f>ROUNDDOWN(G29,0)</f>
        <v>0</v>
      </c>
      <c r="K29" s="136"/>
      <c r="L29" s="136"/>
      <c r="N29" s="171"/>
    </row>
    <row r="30" spans="1:15" ht="48" customHeight="1" x14ac:dyDescent="0.15">
      <c r="A30" s="228"/>
      <c r="B30" s="227"/>
      <c r="C30" s="227"/>
      <c r="D30" s="227"/>
      <c r="E30" s="75" t="s">
        <v>125</v>
      </c>
      <c r="F30" s="86"/>
      <c r="G30" s="58"/>
      <c r="H30" s="57">
        <f>IF((G30-E18*10000)&lt;0,0,ROUNDDOWN((G30-E18*10000),0))</f>
        <v>0</v>
      </c>
      <c r="K30" s="136"/>
      <c r="L30" s="136"/>
    </row>
    <row r="31" spans="1:15" ht="20.25" customHeight="1" x14ac:dyDescent="0.15">
      <c r="A31" s="228"/>
      <c r="B31" s="227"/>
      <c r="C31" s="227"/>
      <c r="D31" s="227"/>
      <c r="E31" s="91" t="s">
        <v>98</v>
      </c>
      <c r="F31" s="86"/>
      <c r="G31" s="58"/>
      <c r="H31" s="57">
        <f>ROUNDDOWN(G31,0)</f>
        <v>0</v>
      </c>
      <c r="I31" s="59"/>
      <c r="K31" s="136"/>
      <c r="L31" s="136"/>
    </row>
    <row r="32" spans="1:15" ht="20.25" customHeight="1" x14ac:dyDescent="0.15">
      <c r="A32" s="228"/>
      <c r="B32" s="227"/>
      <c r="C32" s="227"/>
      <c r="D32" s="227"/>
      <c r="E32" s="91" t="s">
        <v>97</v>
      </c>
      <c r="F32" s="86"/>
      <c r="G32" s="58"/>
      <c r="H32" s="57">
        <f t="shared" ref="H32:H34" si="0">ROUNDDOWN(G32,0)</f>
        <v>0</v>
      </c>
      <c r="I32" s="59"/>
      <c r="K32" s="136"/>
      <c r="L32" s="136"/>
    </row>
    <row r="33" spans="1:17" ht="20.25" customHeight="1" x14ac:dyDescent="0.15">
      <c r="A33" s="230" t="s">
        <v>96</v>
      </c>
      <c r="B33" s="231"/>
      <c r="C33" s="231"/>
      <c r="D33" s="231"/>
      <c r="E33" s="118" t="s">
        <v>4</v>
      </c>
      <c r="F33" s="86"/>
      <c r="G33" s="58"/>
      <c r="H33" s="57">
        <f t="shared" si="0"/>
        <v>0</v>
      </c>
      <c r="K33" s="136"/>
      <c r="L33" s="136"/>
    </row>
    <row r="34" spans="1:17" ht="20.25" customHeight="1" thickBot="1" x14ac:dyDescent="0.2">
      <c r="A34" s="230"/>
      <c r="B34" s="231"/>
      <c r="C34" s="231"/>
      <c r="D34" s="231"/>
      <c r="E34" s="93" t="s">
        <v>95</v>
      </c>
      <c r="F34" s="86"/>
      <c r="G34" s="58"/>
      <c r="H34" s="57">
        <f t="shared" si="0"/>
        <v>0</v>
      </c>
      <c r="K34" s="136"/>
      <c r="L34" s="136"/>
    </row>
    <row r="35" spans="1:17" ht="23.25" thickBot="1" x14ac:dyDescent="0.2">
      <c r="A35" s="5"/>
      <c r="B35" s="5"/>
      <c r="C35" s="5"/>
      <c r="D35" s="5"/>
      <c r="E35" s="55" t="s">
        <v>94</v>
      </c>
      <c r="F35" s="54">
        <f>SUM(H26:H32)</f>
        <v>0</v>
      </c>
      <c r="G35" s="56" t="s">
        <v>93</v>
      </c>
      <c r="H35" s="39" t="s">
        <v>86</v>
      </c>
      <c r="I35" s="10" t="s">
        <v>92</v>
      </c>
      <c r="K35" s="136"/>
      <c r="L35" s="136"/>
    </row>
    <row r="36" spans="1:17" ht="21.95" customHeight="1" thickBot="1" x14ac:dyDescent="0.2">
      <c r="A36" s="5"/>
      <c r="B36" s="5"/>
      <c r="C36" s="5"/>
      <c r="D36" s="5"/>
      <c r="E36" s="55" t="s">
        <v>91</v>
      </c>
      <c r="F36" s="54">
        <f>SUM(H33:H34)</f>
        <v>0</v>
      </c>
      <c r="G36" s="56" t="s">
        <v>90</v>
      </c>
      <c r="H36" s="39" t="s">
        <v>86</v>
      </c>
      <c r="I36" s="10" t="s">
        <v>89</v>
      </c>
      <c r="K36" s="136"/>
      <c r="L36" s="136"/>
    </row>
    <row r="37" spans="1:17" ht="22.5" thickBot="1" x14ac:dyDescent="0.2">
      <c r="A37" s="218" t="s">
        <v>130</v>
      </c>
      <c r="B37" s="218"/>
      <c r="C37" s="219"/>
      <c r="D37" s="219"/>
      <c r="E37" s="55" t="s">
        <v>88</v>
      </c>
      <c r="F37" s="54">
        <f>IF(E15=0,0,IF(E20="家庭用",ROUNDDOWN(F35/E15,0),"　　　　　　　－"))</f>
        <v>0</v>
      </c>
      <c r="G37" s="53" t="s">
        <v>87</v>
      </c>
      <c r="H37" s="39" t="s">
        <v>86</v>
      </c>
      <c r="I37" s="10" t="s">
        <v>85</v>
      </c>
      <c r="K37" s="136"/>
      <c r="L37" s="136"/>
    </row>
    <row r="38" spans="1:17" ht="22.5" thickBot="1" x14ac:dyDescent="0.2">
      <c r="A38" s="218" t="s">
        <v>131</v>
      </c>
      <c r="B38" s="218"/>
      <c r="C38" s="219"/>
      <c r="D38" s="219"/>
      <c r="E38" s="55" t="s">
        <v>132</v>
      </c>
      <c r="F38" s="54">
        <f>IF(E17=0,0,IF(E20="業務用産業用",ROUNDDOWN(F35/E17,0),"　　　　　　　－"))</f>
        <v>0</v>
      </c>
      <c r="G38" s="53" t="s">
        <v>127</v>
      </c>
      <c r="H38" s="39" t="s">
        <v>86</v>
      </c>
      <c r="I38" s="10" t="s">
        <v>126</v>
      </c>
      <c r="K38" s="136"/>
      <c r="L38" s="136"/>
      <c r="N38" s="171"/>
    </row>
    <row r="39" spans="1:17" ht="10.5" customHeight="1" x14ac:dyDescent="0.15">
      <c r="E39" s="51"/>
      <c r="F39" s="52"/>
      <c r="K39" s="136"/>
      <c r="L39" s="136"/>
    </row>
    <row r="40" spans="1:17" x14ac:dyDescent="0.15">
      <c r="A40" s="41" t="s">
        <v>84</v>
      </c>
      <c r="B40" s="41"/>
      <c r="C40" s="41"/>
      <c r="D40" s="41"/>
      <c r="E40" s="51"/>
      <c r="K40" s="136"/>
      <c r="L40" s="136"/>
    </row>
    <row r="41" spans="1:17" ht="25.5" customHeight="1" x14ac:dyDescent="0.15">
      <c r="A41" s="237" t="s">
        <v>83</v>
      </c>
      <c r="B41" s="237"/>
      <c r="C41" s="237"/>
      <c r="D41" s="237"/>
      <c r="E41" s="208"/>
      <c r="F41" s="208"/>
      <c r="G41" s="208"/>
      <c r="K41" s="136"/>
      <c r="L41" s="136"/>
    </row>
    <row r="42" spans="1:17" ht="7.5" customHeight="1" x14ac:dyDescent="0.15">
      <c r="E42" s="51"/>
      <c r="K42" s="136"/>
      <c r="L42" s="136"/>
    </row>
    <row r="43" spans="1:17" ht="20.25" customHeight="1" x14ac:dyDescent="0.15">
      <c r="A43" s="238" t="s">
        <v>3</v>
      </c>
      <c r="B43" s="239"/>
      <c r="C43" s="239"/>
      <c r="D43" s="239"/>
      <c r="E43" s="240"/>
      <c r="F43" s="240"/>
      <c r="G43" s="241"/>
      <c r="H43" s="50" t="s">
        <v>82</v>
      </c>
      <c r="K43" s="136"/>
      <c r="L43" s="136"/>
    </row>
    <row r="44" spans="1:17" ht="20.25" customHeight="1" x14ac:dyDescent="0.15">
      <c r="A44" s="67" t="s">
        <v>81</v>
      </c>
      <c r="B44" s="48"/>
      <c r="C44" s="48"/>
      <c r="D44" s="48"/>
      <c r="E44" s="48"/>
      <c r="F44" s="48"/>
      <c r="G44" s="88" t="s">
        <v>135</v>
      </c>
      <c r="H44" s="77"/>
      <c r="K44" s="85">
        <f>IF(H44="○",1,0)</f>
        <v>0</v>
      </c>
      <c r="L44" s="139"/>
    </row>
    <row r="45" spans="1:17" ht="20.25" customHeight="1" x14ac:dyDescent="0.15">
      <c r="A45" s="67" t="s">
        <v>80</v>
      </c>
      <c r="B45" s="48"/>
      <c r="C45" s="48"/>
      <c r="D45" s="48"/>
      <c r="E45" s="48"/>
      <c r="F45" s="48"/>
      <c r="G45" s="88" t="s">
        <v>135</v>
      </c>
      <c r="H45" s="77"/>
      <c r="K45" s="85">
        <f>IF(H45="○",1,0)</f>
        <v>0</v>
      </c>
      <c r="L45" s="139"/>
    </row>
    <row r="46" spans="1:17" ht="20.25" customHeight="1" x14ac:dyDescent="0.15">
      <c r="A46" s="67" t="s">
        <v>224</v>
      </c>
      <c r="B46" s="48"/>
      <c r="C46" s="48"/>
      <c r="D46" s="48"/>
      <c r="E46" s="48"/>
      <c r="F46" s="48"/>
      <c r="G46" s="88" t="s">
        <v>135</v>
      </c>
      <c r="H46" s="77"/>
      <c r="K46" s="85">
        <f>IF(H46="○",1,0)</f>
        <v>0</v>
      </c>
      <c r="L46" s="136"/>
    </row>
    <row r="47" spans="1:17" s="161" customFormat="1" ht="36" customHeight="1" x14ac:dyDescent="0.15">
      <c r="A47" s="215" t="s">
        <v>227</v>
      </c>
      <c r="B47" s="246"/>
      <c r="C47" s="246"/>
      <c r="D47" s="246"/>
      <c r="E47" s="246"/>
      <c r="F47" s="246"/>
      <c r="G47" s="88" t="s">
        <v>135</v>
      </c>
      <c r="H47" s="77"/>
      <c r="I47" s="163"/>
      <c r="K47" s="85">
        <f>IF(H47="○",1,0)</f>
        <v>0</v>
      </c>
      <c r="L47" s="136"/>
      <c r="N47" s="170"/>
      <c r="O47" s="170"/>
      <c r="P47" s="105"/>
      <c r="Q47" s="105"/>
    </row>
    <row r="48" spans="1:17" s="71" customFormat="1" ht="87" customHeight="1" x14ac:dyDescent="0.15">
      <c r="A48" s="242" t="s">
        <v>225</v>
      </c>
      <c r="B48" s="243"/>
      <c r="C48" s="243"/>
      <c r="D48" s="243"/>
      <c r="E48" s="244"/>
      <c r="F48" s="244"/>
      <c r="G48" s="244"/>
      <c r="H48" s="245"/>
      <c r="I48" s="9"/>
      <c r="K48" s="140"/>
      <c r="L48" s="140"/>
      <c r="N48" s="171"/>
      <c r="O48" s="175"/>
      <c r="P48" s="107"/>
      <c r="Q48" s="107"/>
    </row>
    <row r="49" spans="1:17" x14ac:dyDescent="0.15">
      <c r="A49" s="81"/>
      <c r="B49" s="251" t="s">
        <v>79</v>
      </c>
      <c r="C49" s="252"/>
      <c r="D49" s="253"/>
      <c r="E49" s="45" t="s">
        <v>78</v>
      </c>
      <c r="F49" s="254" t="s">
        <v>77</v>
      </c>
      <c r="G49" s="255"/>
      <c r="H49" s="97" t="s">
        <v>76</v>
      </c>
      <c r="I49" s="46"/>
      <c r="K49" s="136"/>
      <c r="L49" s="136"/>
    </row>
    <row r="50" spans="1:17" ht="15" customHeight="1" x14ac:dyDescent="0.15">
      <c r="A50" s="81"/>
      <c r="B50" s="256" t="s">
        <v>75</v>
      </c>
      <c r="C50" s="257"/>
      <c r="D50" s="258"/>
      <c r="E50" s="45" t="s">
        <v>74</v>
      </c>
      <c r="F50" s="188" t="s">
        <v>204</v>
      </c>
      <c r="G50" s="189"/>
      <c r="H50" s="72" t="str">
        <f>IF($E$20="家庭用",IF(E$21="－","",IF(E$21="10年","該当","")),"")</f>
        <v/>
      </c>
      <c r="I50" s="247" t="s">
        <v>73</v>
      </c>
      <c r="K50" s="85">
        <f>IF(H50="該当",1,0)</f>
        <v>0</v>
      </c>
      <c r="L50" s="135">
        <v>90000</v>
      </c>
    </row>
    <row r="51" spans="1:17" ht="13.5" customHeight="1" x14ac:dyDescent="0.15">
      <c r="A51" s="68"/>
      <c r="B51" s="259"/>
      <c r="C51" s="260"/>
      <c r="D51" s="261"/>
      <c r="E51" s="45" t="s">
        <v>72</v>
      </c>
      <c r="F51" s="188" t="s">
        <v>203</v>
      </c>
      <c r="G51" s="189"/>
      <c r="H51" s="72" t="str">
        <f>IF($E$20="家庭用",IF(E$21="－","",IF(E$21="11年","該当","")),"")</f>
        <v/>
      </c>
      <c r="I51" s="248"/>
      <c r="K51" s="85">
        <f t="shared" ref="K51:K59" si="1">IF(H51="該当",1,0)</f>
        <v>0</v>
      </c>
      <c r="L51" s="135">
        <v>99000</v>
      </c>
    </row>
    <row r="52" spans="1:17" ht="13.5" customHeight="1" x14ac:dyDescent="0.15">
      <c r="A52" s="68"/>
      <c r="B52" s="259"/>
      <c r="C52" s="260"/>
      <c r="D52" s="261"/>
      <c r="E52" s="45" t="s">
        <v>71</v>
      </c>
      <c r="F52" s="188" t="s">
        <v>206</v>
      </c>
      <c r="G52" s="189"/>
      <c r="H52" s="72" t="str">
        <f>IF($E$20="家庭用",IF(E$21="－","",IF(E$21="12年","該当","")),"")</f>
        <v/>
      </c>
      <c r="I52" s="248"/>
      <c r="K52" s="85">
        <f t="shared" si="1"/>
        <v>0</v>
      </c>
      <c r="L52" s="135">
        <v>108000</v>
      </c>
    </row>
    <row r="53" spans="1:17" ht="13.5" customHeight="1" x14ac:dyDescent="0.15">
      <c r="A53" s="68"/>
      <c r="B53" s="259"/>
      <c r="C53" s="260"/>
      <c r="D53" s="261"/>
      <c r="E53" s="45" t="s">
        <v>70</v>
      </c>
      <c r="F53" s="188" t="s">
        <v>202</v>
      </c>
      <c r="G53" s="189"/>
      <c r="H53" s="72" t="str">
        <f>IF($E$20="家庭用",IF(E$21="－","",IF(E$21="13年","該当","")),"")</f>
        <v/>
      </c>
      <c r="I53" s="248"/>
      <c r="K53" s="85">
        <f t="shared" si="1"/>
        <v>0</v>
      </c>
      <c r="L53" s="135">
        <v>117000</v>
      </c>
    </row>
    <row r="54" spans="1:17" ht="13.5" customHeight="1" x14ac:dyDescent="0.15">
      <c r="A54" s="68"/>
      <c r="B54" s="259"/>
      <c r="C54" s="260"/>
      <c r="D54" s="261"/>
      <c r="E54" s="45" t="s">
        <v>69</v>
      </c>
      <c r="F54" s="188" t="s">
        <v>201</v>
      </c>
      <c r="G54" s="189"/>
      <c r="H54" s="72" t="str">
        <f>IF($E$20="家庭用",IF(E$21="－","",IF(E$21="14年","該当","")),"")</f>
        <v/>
      </c>
      <c r="I54" s="248"/>
      <c r="K54" s="85">
        <f t="shared" si="1"/>
        <v>0</v>
      </c>
      <c r="L54" s="135">
        <v>126000</v>
      </c>
    </row>
    <row r="55" spans="1:17" ht="13.5" customHeight="1" x14ac:dyDescent="0.15">
      <c r="A55" s="68"/>
      <c r="B55" s="259"/>
      <c r="C55" s="262"/>
      <c r="D55" s="261"/>
      <c r="E55" s="45" t="s">
        <v>68</v>
      </c>
      <c r="F55" s="188" t="s">
        <v>200</v>
      </c>
      <c r="G55" s="189"/>
      <c r="H55" s="72" t="str">
        <f>IF($E$20="家庭用",IF(E$21="－","",IF(E$21="15年以上","該当","")),"")</f>
        <v/>
      </c>
      <c r="I55" s="248"/>
      <c r="K55" s="85">
        <f t="shared" si="1"/>
        <v>0</v>
      </c>
      <c r="L55" s="135">
        <v>135000</v>
      </c>
      <c r="N55" s="171"/>
    </row>
    <row r="56" spans="1:17" ht="13.5" customHeight="1" x14ac:dyDescent="0.15">
      <c r="A56" s="82"/>
      <c r="B56" s="256" t="s">
        <v>67</v>
      </c>
      <c r="C56" s="257"/>
      <c r="D56" s="258"/>
      <c r="E56" s="45" t="s">
        <v>210</v>
      </c>
      <c r="F56" s="188" t="s">
        <v>214</v>
      </c>
      <c r="G56" s="189"/>
      <c r="H56" s="72" t="str">
        <f>IF($E$20="業務用産業用",IF($O$19=1,"該当",""),"")</f>
        <v/>
      </c>
      <c r="I56" s="248"/>
      <c r="K56" s="85">
        <f t="shared" si="1"/>
        <v>0</v>
      </c>
      <c r="L56" s="135">
        <v>220000</v>
      </c>
    </row>
    <row r="57" spans="1:17" s="161" customFormat="1" ht="13.5" customHeight="1" x14ac:dyDescent="0.15">
      <c r="A57" s="82"/>
      <c r="B57" s="263"/>
      <c r="C57" s="264"/>
      <c r="D57" s="265"/>
      <c r="E57" s="45" t="s">
        <v>211</v>
      </c>
      <c r="F57" s="188" t="s">
        <v>205</v>
      </c>
      <c r="G57" s="189"/>
      <c r="H57" s="72" t="str">
        <f>IF($E$20="業務用産業用",IF($O$19=2,"該当",""),"")</f>
        <v/>
      </c>
      <c r="I57" s="249"/>
      <c r="K57" s="85">
        <f t="shared" si="1"/>
        <v>0</v>
      </c>
      <c r="L57" s="135">
        <v>190000</v>
      </c>
      <c r="N57" s="170"/>
      <c r="O57" s="170"/>
      <c r="P57" s="105"/>
      <c r="Q57" s="105"/>
    </row>
    <row r="58" spans="1:17" s="161" customFormat="1" ht="13.5" customHeight="1" x14ac:dyDescent="0.15">
      <c r="A58" s="82"/>
      <c r="B58" s="263"/>
      <c r="C58" s="264"/>
      <c r="D58" s="265"/>
      <c r="E58" s="45" t="s">
        <v>212</v>
      </c>
      <c r="F58" s="188" t="s">
        <v>214</v>
      </c>
      <c r="G58" s="189"/>
      <c r="H58" s="72" t="str">
        <f>IF($E$20="業務用産業用",IF($O$19=3,"該当",""),"")</f>
        <v/>
      </c>
      <c r="I58" s="249"/>
      <c r="K58" s="85">
        <f t="shared" si="1"/>
        <v>0</v>
      </c>
      <c r="L58" s="135">
        <v>220000</v>
      </c>
      <c r="N58" s="170"/>
      <c r="O58" s="170"/>
      <c r="P58" s="105"/>
      <c r="Q58" s="105"/>
    </row>
    <row r="59" spans="1:17" s="161" customFormat="1" ht="13.5" customHeight="1" x14ac:dyDescent="0.15">
      <c r="A59" s="82"/>
      <c r="B59" s="266"/>
      <c r="C59" s="267"/>
      <c r="D59" s="268"/>
      <c r="E59" s="45" t="s">
        <v>213</v>
      </c>
      <c r="F59" s="188" t="s">
        <v>214</v>
      </c>
      <c r="G59" s="189"/>
      <c r="H59" s="72" t="str">
        <f>IF($E$20="業務用産業用",IF($O$19=4,"該当",""),"")</f>
        <v/>
      </c>
      <c r="I59" s="250"/>
      <c r="K59" s="85">
        <f t="shared" si="1"/>
        <v>0</v>
      </c>
      <c r="L59" s="135">
        <v>220000</v>
      </c>
      <c r="N59" s="170"/>
      <c r="O59" s="170"/>
      <c r="P59" s="105"/>
      <c r="Q59" s="105"/>
    </row>
    <row r="60" spans="1:17" ht="33" customHeight="1" x14ac:dyDescent="0.15">
      <c r="A60" s="82"/>
      <c r="B60" s="181" t="s">
        <v>133</v>
      </c>
      <c r="C60" s="182"/>
      <c r="D60" s="182"/>
      <c r="E60" s="183" t="s">
        <v>128</v>
      </c>
      <c r="F60" s="186"/>
      <c r="G60" s="187"/>
      <c r="H60" s="78" t="str">
        <f>IF(F37=0,"",IF(E20="","",IF(E20="家庭用",IF(F37&lt;=L60,"○","×"),IF(F38&lt;=L60,"○","×"))))</f>
        <v/>
      </c>
      <c r="I60" s="43"/>
      <c r="K60" s="134">
        <f t="shared" ref="K60" si="2">IF(H60="○",1,0)</f>
        <v>0</v>
      </c>
      <c r="L60" s="135">
        <f>SUM(K50*L50+K51*L51+K52*L52+K53*L53+K54*L54+K55*L55+K56*L56+K57*L57+K58*L58+K59*L59)</f>
        <v>0</v>
      </c>
      <c r="N60" s="171"/>
    </row>
    <row r="61" spans="1:17" ht="9" customHeight="1" x14ac:dyDescent="0.15">
      <c r="A61" s="83"/>
      <c r="B61" s="102"/>
      <c r="C61" s="113"/>
      <c r="D61" s="114"/>
      <c r="E61" s="102"/>
      <c r="F61" s="103"/>
      <c r="G61" s="103"/>
      <c r="H61" s="80"/>
      <c r="I61" s="43"/>
      <c r="K61" s="136"/>
      <c r="L61" s="141"/>
    </row>
    <row r="62" spans="1:17" ht="42" customHeight="1" x14ac:dyDescent="0.15">
      <c r="A62" s="183" t="s">
        <v>226</v>
      </c>
      <c r="B62" s="192"/>
      <c r="C62" s="186"/>
      <c r="D62" s="185"/>
      <c r="E62" s="183" t="s">
        <v>129</v>
      </c>
      <c r="F62" s="186"/>
      <c r="G62" s="186"/>
      <c r="H62" s="193"/>
      <c r="I62" s="43" t="s">
        <v>1</v>
      </c>
      <c r="K62" s="136"/>
      <c r="L62" s="136"/>
    </row>
    <row r="63" spans="1:17" ht="6.75" customHeight="1" x14ac:dyDescent="0.15">
      <c r="A63" s="101"/>
      <c r="B63" s="69"/>
      <c r="C63" s="70"/>
      <c r="D63" s="115"/>
      <c r="E63" s="69"/>
      <c r="F63" s="70"/>
      <c r="G63" s="70"/>
      <c r="H63" s="116"/>
      <c r="I63" s="43"/>
      <c r="K63" s="136"/>
      <c r="L63" s="136"/>
    </row>
    <row r="64" spans="1:17" ht="17.25" customHeight="1" x14ac:dyDescent="0.15">
      <c r="A64" s="82"/>
      <c r="B64" s="194" t="s">
        <v>3</v>
      </c>
      <c r="C64" s="195"/>
      <c r="D64" s="196"/>
      <c r="E64" s="197" t="s">
        <v>66</v>
      </c>
      <c r="F64" s="197"/>
      <c r="G64" s="197"/>
      <c r="H64" s="89" t="s">
        <v>151</v>
      </c>
      <c r="I64" s="43" t="s">
        <v>1</v>
      </c>
      <c r="K64" s="136"/>
      <c r="L64" s="136"/>
    </row>
    <row r="65" spans="1:19" ht="75" customHeight="1" x14ac:dyDescent="0.15">
      <c r="A65" s="82"/>
      <c r="B65" s="183" t="s">
        <v>65</v>
      </c>
      <c r="C65" s="184"/>
      <c r="D65" s="185"/>
      <c r="E65" s="190" t="s">
        <v>64</v>
      </c>
      <c r="F65" s="190"/>
      <c r="G65" s="190"/>
      <c r="H65" s="77"/>
      <c r="I65" s="44"/>
      <c r="K65" s="85">
        <f t="shared" ref="K65:K72" si="3">IF(H65="○",1,0)</f>
        <v>0</v>
      </c>
      <c r="L65" s="136"/>
    </row>
    <row r="66" spans="1:19" s="161" customFormat="1" ht="49.5" customHeight="1" x14ac:dyDescent="0.15">
      <c r="A66" s="82"/>
      <c r="B66" s="183" t="s">
        <v>215</v>
      </c>
      <c r="C66" s="184"/>
      <c r="D66" s="185"/>
      <c r="E66" s="190" t="s">
        <v>216</v>
      </c>
      <c r="F66" s="190"/>
      <c r="G66" s="190"/>
      <c r="H66" s="77"/>
      <c r="I66" s="44"/>
      <c r="K66" s="85">
        <f t="shared" si="3"/>
        <v>0</v>
      </c>
      <c r="L66" s="136"/>
      <c r="N66" s="170"/>
      <c r="O66" s="170"/>
      <c r="P66" s="105"/>
      <c r="Q66" s="105"/>
    </row>
    <row r="67" spans="1:19" s="161" customFormat="1" ht="54.75" customHeight="1" x14ac:dyDescent="0.15">
      <c r="A67" s="82"/>
      <c r="B67" s="183" t="s">
        <v>217</v>
      </c>
      <c r="C67" s="184"/>
      <c r="D67" s="185"/>
      <c r="E67" s="190" t="s">
        <v>218</v>
      </c>
      <c r="F67" s="190"/>
      <c r="G67" s="190"/>
      <c r="H67" s="77"/>
      <c r="I67" s="44"/>
      <c r="K67" s="85">
        <f t="shared" si="3"/>
        <v>0</v>
      </c>
      <c r="L67" s="136"/>
      <c r="N67" s="170"/>
      <c r="O67" s="170"/>
      <c r="P67" s="105"/>
      <c r="Q67" s="105"/>
    </row>
    <row r="68" spans="1:19" ht="36" customHeight="1" x14ac:dyDescent="0.15">
      <c r="A68" s="82"/>
      <c r="B68" s="183" t="s">
        <v>219</v>
      </c>
      <c r="C68" s="184"/>
      <c r="D68" s="185"/>
      <c r="E68" s="190" t="s">
        <v>63</v>
      </c>
      <c r="F68" s="190"/>
      <c r="G68" s="190"/>
      <c r="H68" s="77"/>
      <c r="I68" s="43"/>
      <c r="K68" s="85">
        <f t="shared" si="3"/>
        <v>0</v>
      </c>
      <c r="L68" s="136"/>
    </row>
    <row r="69" spans="1:19" ht="115.5" customHeight="1" x14ac:dyDescent="0.15">
      <c r="A69" s="82"/>
      <c r="B69" s="183" t="s">
        <v>220</v>
      </c>
      <c r="C69" s="184"/>
      <c r="D69" s="185"/>
      <c r="E69" s="190" t="s">
        <v>62</v>
      </c>
      <c r="F69" s="190"/>
      <c r="G69" s="190"/>
      <c r="H69" s="77"/>
      <c r="I69" s="43"/>
      <c r="K69" s="85">
        <f t="shared" si="3"/>
        <v>0</v>
      </c>
      <c r="L69" s="136"/>
    </row>
    <row r="70" spans="1:19" ht="105" customHeight="1" x14ac:dyDescent="0.15">
      <c r="A70" s="82"/>
      <c r="B70" s="183" t="s">
        <v>221</v>
      </c>
      <c r="C70" s="184"/>
      <c r="D70" s="185"/>
      <c r="E70" s="190" t="s">
        <v>61</v>
      </c>
      <c r="F70" s="190"/>
      <c r="G70" s="190"/>
      <c r="H70" s="77"/>
      <c r="I70" s="43"/>
      <c r="K70" s="85">
        <f t="shared" si="3"/>
        <v>0</v>
      </c>
      <c r="L70" s="136"/>
    </row>
    <row r="71" spans="1:19" ht="60.75" customHeight="1" x14ac:dyDescent="0.15">
      <c r="A71" s="82"/>
      <c r="B71" s="183" t="s">
        <v>222</v>
      </c>
      <c r="C71" s="184"/>
      <c r="D71" s="185"/>
      <c r="E71" s="191" t="s">
        <v>60</v>
      </c>
      <c r="F71" s="191"/>
      <c r="G71" s="191"/>
      <c r="H71" s="77"/>
      <c r="I71" s="43"/>
      <c r="K71" s="85">
        <f t="shared" si="3"/>
        <v>0</v>
      </c>
      <c r="L71" s="136"/>
    </row>
    <row r="72" spans="1:19" ht="71.25" customHeight="1" x14ac:dyDescent="0.15">
      <c r="A72" s="82"/>
      <c r="B72" s="183" t="s">
        <v>223</v>
      </c>
      <c r="C72" s="184"/>
      <c r="D72" s="185"/>
      <c r="E72" s="183" t="s">
        <v>59</v>
      </c>
      <c r="F72" s="186"/>
      <c r="G72" s="187"/>
      <c r="H72" s="77"/>
      <c r="I72" s="42"/>
      <c r="K72" s="85">
        <f t="shared" si="3"/>
        <v>0</v>
      </c>
      <c r="L72" s="136"/>
    </row>
    <row r="73" spans="1:19" ht="9" customHeight="1" x14ac:dyDescent="0.15">
      <c r="A73" s="83"/>
      <c r="B73" s="69"/>
      <c r="C73" s="115"/>
      <c r="D73" s="115"/>
      <c r="E73" s="69"/>
      <c r="F73" s="70"/>
      <c r="G73" s="70"/>
      <c r="H73" s="117"/>
      <c r="I73" s="84"/>
      <c r="K73" s="136"/>
      <c r="L73" s="136"/>
    </row>
    <row r="74" spans="1:19" x14ac:dyDescent="0.15">
      <c r="E74" s="4"/>
      <c r="F74" s="41"/>
      <c r="G74" s="40"/>
      <c r="H74" s="2"/>
      <c r="K74" s="136"/>
      <c r="L74" s="136"/>
    </row>
    <row r="75" spans="1:19" ht="18" customHeight="1" x14ac:dyDescent="0.15">
      <c r="A75" s="11" t="s">
        <v>58</v>
      </c>
      <c r="E75" s="39"/>
      <c r="G75" s="39"/>
      <c r="H75" s="38" t="s">
        <v>57</v>
      </c>
      <c r="K75" s="136"/>
      <c r="L75" s="136"/>
    </row>
    <row r="76" spans="1:19" ht="30" customHeight="1" x14ac:dyDescent="0.15">
      <c r="A76" s="203" t="s">
        <v>56</v>
      </c>
      <c r="B76" s="204"/>
      <c r="C76" s="186"/>
      <c r="D76" s="184"/>
      <c r="E76" s="205" t="s">
        <v>55</v>
      </c>
      <c r="F76" s="209"/>
      <c r="G76" s="201"/>
      <c r="H76" s="210" t="str">
        <f>IF(F37=0,"",IF($E$20="家庭用",IF(K77=13,"合格
（4項へ進む）","不合格
（算定チェック終了）"),IF($E$20="業務用産業用",IF(L77=5,"合格
（4項へ進む）","不合格
（算定チェック終了）"))))</f>
        <v/>
      </c>
      <c r="K76" s="30" t="s">
        <v>136</v>
      </c>
      <c r="L76" s="30" t="s">
        <v>137</v>
      </c>
    </row>
    <row r="77" spans="1:19" ht="30" customHeight="1" x14ac:dyDescent="0.15">
      <c r="A77" s="203" t="s">
        <v>54</v>
      </c>
      <c r="B77" s="204"/>
      <c r="C77" s="186"/>
      <c r="D77" s="184"/>
      <c r="E77" s="205" t="s">
        <v>53</v>
      </c>
      <c r="F77" s="206"/>
      <c r="G77" s="202"/>
      <c r="H77" s="211"/>
      <c r="K77" s="85">
        <f>SUM(K44:K47,K60,K65:K72)</f>
        <v>0</v>
      </c>
      <c r="L77" s="85">
        <f>SUM(K44:K47,K60)</f>
        <v>0</v>
      </c>
    </row>
    <row r="78" spans="1:19" x14ac:dyDescent="0.15">
      <c r="A78" s="90"/>
      <c r="B78" s="90"/>
      <c r="C78" s="90"/>
      <c r="D78" s="90"/>
      <c r="E78" s="37"/>
      <c r="F78" s="37"/>
      <c r="K78" s="136"/>
      <c r="L78" s="136"/>
    </row>
    <row r="79" spans="1:19" x14ac:dyDescent="0.15">
      <c r="A79" s="207" t="s">
        <v>52</v>
      </c>
      <c r="B79" s="207"/>
      <c r="C79" s="207"/>
      <c r="D79" s="207"/>
      <c r="E79" s="208"/>
      <c r="F79" s="208"/>
      <c r="K79" s="136"/>
      <c r="L79" s="136"/>
    </row>
    <row r="80" spans="1:19" ht="38.25" customHeight="1" x14ac:dyDescent="0.15">
      <c r="A80" s="207" t="s">
        <v>51</v>
      </c>
      <c r="B80" s="207"/>
      <c r="C80" s="207"/>
      <c r="D80" s="207"/>
      <c r="E80" s="208"/>
      <c r="F80" s="208"/>
      <c r="G80" s="208"/>
      <c r="H80" s="208"/>
      <c r="K80" s="136"/>
      <c r="L80" s="136"/>
      <c r="S80" s="104"/>
    </row>
    <row r="81" spans="1:19" ht="13.5" customHeight="1" thickBot="1" x14ac:dyDescent="0.2">
      <c r="A81" s="160"/>
      <c r="B81" s="160"/>
      <c r="C81" s="160"/>
      <c r="D81" s="160"/>
      <c r="E81" s="159"/>
      <c r="F81" s="159"/>
      <c r="G81" s="159"/>
      <c r="H81" s="159"/>
      <c r="K81" s="136"/>
      <c r="L81" s="136"/>
      <c r="S81" s="104"/>
    </row>
    <row r="82" spans="1:19" ht="13.5" customHeight="1" thickBot="1" x14ac:dyDescent="0.2">
      <c r="A82" s="160"/>
      <c r="B82" s="162" t="s">
        <v>198</v>
      </c>
      <c r="C82" s="164"/>
      <c r="D82" s="164"/>
      <c r="E82" s="165"/>
      <c r="F82" s="178">
        <v>0.1</v>
      </c>
      <c r="G82" s="159"/>
      <c r="H82" s="159"/>
      <c r="K82" s="136"/>
      <c r="L82" s="136">
        <f>IF(F82="対象外",0,F82)</f>
        <v>0.1</v>
      </c>
      <c r="S82" s="104"/>
    </row>
    <row r="83" spans="1:19" s="161" customFormat="1" ht="45.75" customHeight="1" x14ac:dyDescent="0.15">
      <c r="A83" s="167"/>
      <c r="B83" s="212" t="s">
        <v>207</v>
      </c>
      <c r="C83" s="213"/>
      <c r="D83" s="213"/>
      <c r="E83" s="213"/>
      <c r="F83" s="213"/>
      <c r="G83" s="166"/>
      <c r="H83" s="166"/>
      <c r="I83" s="163"/>
      <c r="K83" s="136"/>
      <c r="L83" s="136"/>
      <c r="N83" s="170"/>
      <c r="O83" s="170"/>
      <c r="P83" s="105"/>
      <c r="Q83" s="105"/>
      <c r="S83" s="104"/>
    </row>
    <row r="84" spans="1:19" s="161" customFormat="1" ht="13.5" customHeight="1" x14ac:dyDescent="0.15">
      <c r="A84" s="168"/>
      <c r="B84" s="168"/>
      <c r="C84" s="176"/>
      <c r="D84" s="176"/>
      <c r="E84" s="176"/>
      <c r="F84" s="176"/>
      <c r="G84" s="169"/>
      <c r="H84" s="169"/>
      <c r="I84" s="163"/>
      <c r="K84" s="136"/>
      <c r="L84" s="136"/>
      <c r="N84" s="170"/>
      <c r="O84" s="170"/>
      <c r="P84" s="105"/>
      <c r="Q84" s="105"/>
      <c r="S84" s="104"/>
    </row>
    <row r="85" spans="1:19" x14ac:dyDescent="0.15">
      <c r="A85" s="26" t="s">
        <v>50</v>
      </c>
      <c r="B85" s="26"/>
      <c r="C85" s="26"/>
      <c r="D85" s="26"/>
      <c r="E85" s="23"/>
      <c r="H85" s="2"/>
      <c r="K85" s="136"/>
      <c r="L85" s="136"/>
      <c r="S85" s="104"/>
    </row>
    <row r="86" spans="1:19" x14ac:dyDescent="0.15">
      <c r="A86" s="21" t="s">
        <v>33</v>
      </c>
      <c r="B86" s="21"/>
      <c r="C86" s="21"/>
      <c r="D86" s="21"/>
      <c r="E86" s="20"/>
      <c r="F86" s="1"/>
      <c r="G86" s="1"/>
      <c r="H86" s="1"/>
      <c r="K86" s="136"/>
      <c r="L86" s="136"/>
      <c r="S86" s="104"/>
    </row>
    <row r="87" spans="1:19" x14ac:dyDescent="0.15">
      <c r="A87" s="200" t="s">
        <v>32</v>
      </c>
      <c r="B87" s="200"/>
      <c r="C87" s="200"/>
      <c r="D87" s="95"/>
      <c r="E87" s="23"/>
      <c r="F87" s="36">
        <f>IF(K77=13,ROUNDDOWN(F$35/3*IF(E$20="家庭用",1,0),0),0)</f>
        <v>0</v>
      </c>
      <c r="G87" s="7" t="s">
        <v>49</v>
      </c>
      <c r="H87" s="6"/>
      <c r="K87" s="136"/>
      <c r="L87" s="136"/>
      <c r="S87" s="104"/>
    </row>
    <row r="88" spans="1:19" x14ac:dyDescent="0.15">
      <c r="A88" s="28" t="s">
        <v>197</v>
      </c>
      <c r="B88" s="28"/>
      <c r="C88" s="28"/>
      <c r="D88" s="28"/>
      <c r="E88" s="23"/>
      <c r="F88" s="36">
        <f>IF(K77=13,ROUNDDOWN(E15*30000*IF(E$20="家庭用",1,0),0),0)</f>
        <v>0</v>
      </c>
      <c r="G88" s="7" t="s">
        <v>30</v>
      </c>
      <c r="H88" s="6"/>
      <c r="K88" s="136"/>
      <c r="L88" s="136"/>
      <c r="S88" s="104"/>
    </row>
    <row r="89" spans="1:19" x14ac:dyDescent="0.15">
      <c r="A89" s="24" t="s">
        <v>29</v>
      </c>
      <c r="B89" s="24"/>
      <c r="C89" s="24"/>
      <c r="D89" s="24"/>
      <c r="E89" s="23"/>
      <c r="F89" s="27"/>
      <c r="G89" s="7"/>
      <c r="H89" s="6"/>
      <c r="K89" s="136"/>
      <c r="L89" s="136"/>
      <c r="S89" s="104"/>
    </row>
    <row r="90" spans="1:19" x14ac:dyDescent="0.15">
      <c r="A90" s="24" t="s">
        <v>28</v>
      </c>
      <c r="B90" s="24"/>
      <c r="C90" s="24"/>
      <c r="D90" s="24"/>
      <c r="E90" s="23"/>
      <c r="F90" s="17"/>
      <c r="G90" s="13"/>
      <c r="H90" s="12"/>
      <c r="I90" s="22"/>
      <c r="K90" s="136"/>
      <c r="L90" s="136"/>
      <c r="S90" s="104"/>
    </row>
    <row r="91" spans="1:19" ht="27" customHeight="1" x14ac:dyDescent="0.15">
      <c r="A91" s="24" t="s">
        <v>27</v>
      </c>
      <c r="B91" s="24"/>
      <c r="C91" s="24"/>
      <c r="D91" s="24"/>
      <c r="E91" s="23"/>
      <c r="F91" s="34">
        <f>IF(K77=13,ROUNDDOWN(F$35*IF(H$10=1,(1+$L$82),1)*IF(E$20="家庭用",1,0),0)*IF(F87&gt;F88,1,0),0)</f>
        <v>0</v>
      </c>
      <c r="G91" s="119" t="s">
        <v>12</v>
      </c>
      <c r="H91" s="119" t="str">
        <f>IF(F91=0,"",IF(H$10=1,CHAR(10)&amp;"《税込み》",CHAR(10)&amp;"《税抜き》"))</f>
        <v/>
      </c>
      <c r="I91" s="22" t="s">
        <v>48</v>
      </c>
      <c r="K91" s="136"/>
      <c r="L91" s="136"/>
      <c r="P91" s="108"/>
      <c r="Q91" s="108"/>
      <c r="R91" s="104"/>
      <c r="S91" s="104"/>
    </row>
    <row r="92" spans="1:19" ht="24" customHeight="1" x14ac:dyDescent="0.15">
      <c r="A92" s="24" t="s">
        <v>25</v>
      </c>
      <c r="B92" s="24"/>
      <c r="C92" s="24"/>
      <c r="D92" s="24"/>
      <c r="E92" s="23"/>
      <c r="F92" s="34">
        <f>IF(K77=13,ROUNDDOWN(IF(F87&gt;F88,F88,0),0)*IF(H$10=1,(1+$L$82),1)*IF(E$20="家庭用",1,0)*IF(F87&gt;F88,1,0),0)</f>
        <v>0</v>
      </c>
      <c r="G92" s="119" t="s">
        <v>9</v>
      </c>
      <c r="H92" s="119" t="str">
        <f>IF(F92=0,"",IF(H$10=1,CHAR(10)&amp;"《税込み》",CHAR(10)&amp;"《税抜き》"))</f>
        <v/>
      </c>
      <c r="I92" s="22" t="s">
        <v>47</v>
      </c>
      <c r="K92" s="136"/>
      <c r="L92" s="136"/>
    </row>
    <row r="93" spans="1:19" x14ac:dyDescent="0.15">
      <c r="A93" s="24" t="s">
        <v>46</v>
      </c>
      <c r="B93" s="24"/>
      <c r="C93" s="24"/>
      <c r="D93" s="24"/>
      <c r="E93" s="23"/>
      <c r="F93" s="17"/>
      <c r="G93" s="96"/>
      <c r="H93" s="12"/>
      <c r="I93" s="22"/>
      <c r="K93" s="136"/>
      <c r="L93" s="136"/>
    </row>
    <row r="94" spans="1:19" x14ac:dyDescent="0.15">
      <c r="A94" s="24"/>
      <c r="B94" s="24"/>
      <c r="C94" s="24"/>
      <c r="D94" s="24"/>
      <c r="E94" s="23"/>
      <c r="F94" s="17"/>
      <c r="G94" s="96"/>
      <c r="H94" s="12"/>
      <c r="I94" s="22"/>
      <c r="K94" s="136"/>
      <c r="L94" s="136"/>
    </row>
    <row r="95" spans="1:19" x14ac:dyDescent="0.15">
      <c r="A95" s="24" t="s">
        <v>22</v>
      </c>
      <c r="B95" s="24"/>
      <c r="C95" s="24"/>
      <c r="D95" s="24"/>
      <c r="E95" s="23"/>
      <c r="F95" s="17"/>
      <c r="G95" s="13"/>
      <c r="H95" s="12"/>
      <c r="I95" s="22"/>
      <c r="K95" s="136"/>
      <c r="L95" s="136"/>
    </row>
    <row r="96" spans="1:19" ht="23.1" customHeight="1" x14ac:dyDescent="0.15">
      <c r="A96" s="24" t="s">
        <v>13</v>
      </c>
      <c r="B96" s="24"/>
      <c r="C96" s="24"/>
      <c r="D96" s="24"/>
      <c r="E96" s="23"/>
      <c r="F96" s="34">
        <f>IF(K77=13,ROUNDDOWN(F$35*IF(H$10=1,(1+$L$82),1)*IF(E$20="家庭用",1,0),0)*IF(F87&lt;=F88,1,0),0)</f>
        <v>0</v>
      </c>
      <c r="G96" s="119" t="s">
        <v>21</v>
      </c>
      <c r="H96" s="119" t="str">
        <f t="shared" ref="H96:H97" si="4">IF(F96=0,"",IF(H$10=1,CHAR(10)&amp;"《税込み》",CHAR(10)&amp;"《税抜き》"))</f>
        <v/>
      </c>
      <c r="I96" s="22" t="s">
        <v>45</v>
      </c>
      <c r="K96" s="136"/>
      <c r="L96" s="136"/>
    </row>
    <row r="97" spans="1:12" ht="22.5" customHeight="1" x14ac:dyDescent="0.15">
      <c r="A97" s="24" t="s">
        <v>10</v>
      </c>
      <c r="B97" s="24"/>
      <c r="C97" s="24"/>
      <c r="D97" s="24"/>
      <c r="E97" s="23"/>
      <c r="F97" s="34">
        <f>IF(K77=13,ROUNDDOWN(IF(F87&lt;=F88,F87,0)*IF(H$10=1,(1+$L$82),1)*IF(E$20="家庭用",1,0),0)*IF(F87&lt;=F88,1,0),0)</f>
        <v>0</v>
      </c>
      <c r="G97" s="94" t="s">
        <v>44</v>
      </c>
      <c r="H97" s="119" t="str">
        <f t="shared" si="4"/>
        <v/>
      </c>
      <c r="I97" s="22" t="s">
        <v>43</v>
      </c>
      <c r="K97" s="136"/>
      <c r="L97" s="136"/>
    </row>
    <row r="98" spans="1:12" x14ac:dyDescent="0.15">
      <c r="A98" s="24" t="s">
        <v>42</v>
      </c>
      <c r="B98" s="24"/>
      <c r="C98" s="24"/>
      <c r="D98" s="24"/>
      <c r="E98" s="23"/>
      <c r="F98" s="17"/>
      <c r="G98" s="96"/>
      <c r="H98" s="12"/>
      <c r="I98" s="22"/>
      <c r="K98" s="136"/>
      <c r="L98" s="136"/>
    </row>
    <row r="99" spans="1:12" x14ac:dyDescent="0.15">
      <c r="K99" s="136"/>
      <c r="L99" s="136"/>
    </row>
    <row r="100" spans="1:12" x14ac:dyDescent="0.15">
      <c r="A100" s="26" t="s">
        <v>16</v>
      </c>
      <c r="B100" s="26"/>
      <c r="C100" s="26"/>
      <c r="D100" s="26"/>
      <c r="E100" s="23"/>
      <c r="F100" s="13"/>
      <c r="K100" s="136"/>
      <c r="L100" s="136"/>
    </row>
    <row r="101" spans="1:12" x14ac:dyDescent="0.15">
      <c r="A101" s="198" t="s">
        <v>15</v>
      </c>
      <c r="B101" s="198"/>
      <c r="C101" s="198"/>
      <c r="D101" s="99"/>
      <c r="F101" s="35">
        <f>IF(K77=13,ROUNDDOWN(F$36/2,0)*IF(E$20="家庭用",1,0),0)</f>
        <v>0</v>
      </c>
      <c r="G101" s="7" t="s">
        <v>49</v>
      </c>
      <c r="H101" s="2"/>
      <c r="K101" s="136"/>
      <c r="L101" s="136"/>
    </row>
    <row r="102" spans="1:12" x14ac:dyDescent="0.15">
      <c r="A102" s="29" t="s">
        <v>150</v>
      </c>
      <c r="B102" s="18"/>
      <c r="C102" s="18"/>
      <c r="D102" s="18"/>
      <c r="F102" s="35">
        <f>IF(K77=13,ROUNDDOWN(100000*IF(E$20="家庭用",1,0),0),0)</f>
        <v>0</v>
      </c>
      <c r="G102" s="7" t="s">
        <v>30</v>
      </c>
      <c r="H102" s="2"/>
      <c r="K102" s="136"/>
      <c r="L102" s="136"/>
    </row>
    <row r="103" spans="1:12" x14ac:dyDescent="0.15">
      <c r="A103" s="24" t="s">
        <v>28</v>
      </c>
      <c r="B103" s="24"/>
      <c r="C103" s="24"/>
      <c r="D103" s="24"/>
      <c r="E103" s="23"/>
      <c r="F103" s="14"/>
      <c r="G103" s="13"/>
      <c r="H103" s="12"/>
      <c r="I103" s="22"/>
      <c r="K103" s="136"/>
      <c r="L103" s="136"/>
    </row>
    <row r="104" spans="1:12" ht="22.5" customHeight="1" x14ac:dyDescent="0.15">
      <c r="A104" s="24" t="s">
        <v>27</v>
      </c>
      <c r="B104" s="24"/>
      <c r="C104" s="24"/>
      <c r="D104" s="24"/>
      <c r="E104" s="23"/>
      <c r="F104" s="34">
        <f>IF(K77=13,ROUNDDOWN(F$36*(IF(H$10=1,(1+$L$82),1))*IF(E$20="家庭用",1,0),0)*IF(F101&gt;F102,1,0),0)</f>
        <v>0</v>
      </c>
      <c r="G104" s="119" t="s">
        <v>12</v>
      </c>
      <c r="H104" s="119" t="str">
        <f t="shared" ref="H104:H105" si="5">IF(F104=0,"",IF(H$10=1,CHAR(10)&amp;"《税込み》",CHAR(10)&amp;"《税抜き》"))</f>
        <v/>
      </c>
      <c r="I104" s="22" t="s">
        <v>41</v>
      </c>
      <c r="K104" s="136"/>
      <c r="L104" s="136"/>
    </row>
    <row r="105" spans="1:12" ht="22.5" customHeight="1" x14ac:dyDescent="0.15">
      <c r="A105" s="24" t="s">
        <v>25</v>
      </c>
      <c r="B105" s="24"/>
      <c r="C105" s="24"/>
      <c r="D105" s="24"/>
      <c r="E105" s="23"/>
      <c r="F105" s="34">
        <f>IF(K77=13,ROUNDDOWN(IF(F101&gt;F102,F102,0),0)*IF(H$10=1,(1+$L$82),1)*IF(E$20="家庭用",1,0)*IF(F101&gt;F102,1,0),0)</f>
        <v>0</v>
      </c>
      <c r="G105" s="119" t="s">
        <v>9</v>
      </c>
      <c r="H105" s="119" t="str">
        <f t="shared" si="5"/>
        <v/>
      </c>
      <c r="I105" s="22" t="s">
        <v>40</v>
      </c>
      <c r="K105" s="136"/>
      <c r="L105" s="136"/>
    </row>
    <row r="106" spans="1:12" x14ac:dyDescent="0.15">
      <c r="A106" s="24" t="s">
        <v>39</v>
      </c>
      <c r="B106" s="24"/>
      <c r="C106" s="24"/>
      <c r="D106" s="24"/>
      <c r="E106" s="23"/>
      <c r="F106" s="17"/>
      <c r="G106" s="96"/>
      <c r="H106" s="12"/>
      <c r="I106" s="22"/>
      <c r="K106" s="136"/>
      <c r="L106" s="136"/>
    </row>
    <row r="107" spans="1:12" x14ac:dyDescent="0.15">
      <c r="A107" s="24" t="s">
        <v>38</v>
      </c>
      <c r="B107" s="24"/>
      <c r="C107" s="24"/>
      <c r="D107" s="24"/>
      <c r="E107" s="23"/>
      <c r="F107" s="17"/>
      <c r="G107" s="96"/>
      <c r="H107" s="12"/>
      <c r="I107" s="22"/>
      <c r="K107" s="136"/>
      <c r="L107" s="136"/>
    </row>
    <row r="108" spans="1:12" x14ac:dyDescent="0.15">
      <c r="A108" s="24" t="s">
        <v>22</v>
      </c>
      <c r="B108" s="24"/>
      <c r="C108" s="24"/>
      <c r="D108" s="24"/>
      <c r="E108" s="23"/>
      <c r="F108" s="17"/>
      <c r="G108" s="13"/>
      <c r="H108" s="12"/>
      <c r="I108" s="22"/>
      <c r="K108" s="136"/>
      <c r="L108" s="136"/>
    </row>
    <row r="109" spans="1:12" ht="22.5" customHeight="1" x14ac:dyDescent="0.15">
      <c r="A109" s="24" t="s">
        <v>13</v>
      </c>
      <c r="B109" s="24"/>
      <c r="C109" s="24"/>
      <c r="D109" s="24"/>
      <c r="E109" s="23"/>
      <c r="F109" s="34">
        <f>IF(K77=13,ROUNDDOWN(F$36*IF(H$10=1,(1+$L$82),1)*IF(E$20="家庭用",1,0),0)*IF(F101&lt;=F102,1,0),0)</f>
        <v>0</v>
      </c>
      <c r="G109" s="119" t="s">
        <v>21</v>
      </c>
      <c r="H109" s="119" t="str">
        <f t="shared" ref="H109:H110" si="6">IF(F109=0,"",IF(H$10=1,CHAR(10)&amp;"《税込み》",CHAR(10)&amp;"《税抜き》"))</f>
        <v/>
      </c>
      <c r="I109" s="22" t="s">
        <v>37</v>
      </c>
      <c r="K109" s="136"/>
      <c r="L109" s="136"/>
    </row>
    <row r="110" spans="1:12" ht="22.5" customHeight="1" x14ac:dyDescent="0.15">
      <c r="A110" s="24" t="s">
        <v>10</v>
      </c>
      <c r="B110" s="24"/>
      <c r="C110" s="24"/>
      <c r="D110" s="24"/>
      <c r="E110" s="23"/>
      <c r="F110" s="34">
        <f>IF(K77=13,ROUNDDOWN(IF(F101&lt;=F102,F101,0)*1,0)*IF(H$10=1,(1+$L$82),1)*IF(E$20="家庭用",1,0)*IF(F101&lt;=F102,1,0),0)</f>
        <v>0</v>
      </c>
      <c r="G110" s="119" t="s">
        <v>19</v>
      </c>
      <c r="H110" s="119" t="str">
        <f t="shared" si="6"/>
        <v/>
      </c>
      <c r="I110" s="22" t="s">
        <v>36</v>
      </c>
      <c r="K110" s="136"/>
      <c r="L110" s="136"/>
    </row>
    <row r="111" spans="1:12" x14ac:dyDescent="0.15">
      <c r="A111" s="24" t="s">
        <v>35</v>
      </c>
      <c r="B111" s="24"/>
      <c r="C111" s="24"/>
      <c r="D111" s="24"/>
      <c r="E111" s="23"/>
      <c r="F111" s="17"/>
      <c r="G111" s="96"/>
      <c r="H111" s="12"/>
      <c r="I111" s="22"/>
      <c r="K111" s="136"/>
      <c r="L111" s="136"/>
    </row>
    <row r="112" spans="1:12" x14ac:dyDescent="0.15">
      <c r="K112" s="136"/>
      <c r="L112" s="136"/>
    </row>
    <row r="113" spans="1:14" x14ac:dyDescent="0.15">
      <c r="A113" s="21" t="s">
        <v>34</v>
      </c>
      <c r="B113" s="21"/>
      <c r="C113" s="21"/>
      <c r="D113" s="21"/>
      <c r="E113" s="20"/>
      <c r="K113" s="136"/>
      <c r="L113" s="136"/>
      <c r="N113" s="171"/>
    </row>
    <row r="114" spans="1:14" x14ac:dyDescent="0.15">
      <c r="A114" s="21" t="s">
        <v>33</v>
      </c>
      <c r="B114" s="21"/>
      <c r="C114" s="21"/>
      <c r="D114" s="21"/>
      <c r="E114" s="20"/>
      <c r="K114" s="136"/>
      <c r="L114" s="136"/>
    </row>
    <row r="115" spans="1:14" x14ac:dyDescent="0.15">
      <c r="A115" s="200" t="s">
        <v>32</v>
      </c>
      <c r="B115" s="200"/>
      <c r="C115" s="200"/>
      <c r="D115" s="95"/>
      <c r="E115" s="23"/>
      <c r="F115" s="35">
        <f>IF(L77=5,ROUNDDOWN(F$35/3*IF(E$20="業務用産業用",1,0),0),0)</f>
        <v>0</v>
      </c>
      <c r="G115" s="7" t="s">
        <v>31</v>
      </c>
      <c r="H115" s="12"/>
      <c r="K115" s="136"/>
      <c r="L115" s="136"/>
    </row>
    <row r="116" spans="1:14" x14ac:dyDescent="0.15">
      <c r="A116" s="28" t="s">
        <v>199</v>
      </c>
      <c r="B116" s="28"/>
      <c r="C116" s="28"/>
      <c r="D116" s="28"/>
      <c r="E116" s="23"/>
      <c r="F116" s="35">
        <f>IF(L77=5,ROUNDDOWN(E$17*70000*IF(E$20="業務用産業用",1,0),0),0)</f>
        <v>0</v>
      </c>
      <c r="G116" s="7" t="s">
        <v>30</v>
      </c>
      <c r="H116" s="12"/>
      <c r="K116" s="136"/>
      <c r="L116" s="136"/>
      <c r="N116" s="171"/>
    </row>
    <row r="117" spans="1:14" x14ac:dyDescent="0.15">
      <c r="A117" s="24" t="s">
        <v>29</v>
      </c>
      <c r="B117" s="24"/>
      <c r="C117" s="24"/>
      <c r="D117" s="24"/>
      <c r="E117" s="23"/>
      <c r="F117" s="27"/>
      <c r="G117" s="7"/>
      <c r="H117" s="12"/>
      <c r="I117" s="22"/>
      <c r="K117" s="136"/>
      <c r="L117" s="136"/>
    </row>
    <row r="118" spans="1:14" x14ac:dyDescent="0.15">
      <c r="A118" s="24" t="s">
        <v>28</v>
      </c>
      <c r="B118" s="24"/>
      <c r="C118" s="24"/>
      <c r="D118" s="24"/>
      <c r="E118" s="23"/>
      <c r="F118" s="17"/>
      <c r="G118" s="13"/>
      <c r="H118" s="12"/>
      <c r="I118" s="22"/>
      <c r="K118" s="136"/>
      <c r="L118" s="136"/>
    </row>
    <row r="119" spans="1:14" ht="22.5" customHeight="1" x14ac:dyDescent="0.15">
      <c r="A119" s="24" t="s">
        <v>27</v>
      </c>
      <c r="B119" s="24"/>
      <c r="C119" s="24"/>
      <c r="D119" s="24"/>
      <c r="E119" s="23"/>
      <c r="F119" s="34">
        <f>IF(L77=5,ROUNDDOWN(F$35*IF(H$10=1,(1+$L$82),1)*IF(E$20="業務用産業用",1,0),0)*IF(F115&gt;F116,1,0),0)</f>
        <v>0</v>
      </c>
      <c r="G119" s="119" t="s">
        <v>12</v>
      </c>
      <c r="H119" s="119" t="str">
        <f t="shared" ref="H119:H120" si="7">IF(F119=0,"",IF(H$10=1,CHAR(10)&amp;"《税込み》",CHAR(10)&amp;"《税抜き》"))</f>
        <v/>
      </c>
      <c r="I119" s="22" t="s">
        <v>26</v>
      </c>
      <c r="K119" s="136"/>
      <c r="L119" s="136"/>
    </row>
    <row r="120" spans="1:14" ht="21" customHeight="1" x14ac:dyDescent="0.15">
      <c r="A120" s="24" t="s">
        <v>25</v>
      </c>
      <c r="B120" s="24"/>
      <c r="C120" s="24"/>
      <c r="D120" s="24"/>
      <c r="E120" s="23"/>
      <c r="F120" s="34">
        <f>IF(L77=5,ROUNDDOWN(IF(F115&gt;F116,F116,0)*IF(H$10=1,(1+$L$82),1)*IF(E$20="業務用産業用",1,0)*IF(F115&gt;F116,1,0),0),0)</f>
        <v>0</v>
      </c>
      <c r="G120" s="119" t="s">
        <v>9</v>
      </c>
      <c r="H120" s="119" t="str">
        <f t="shared" si="7"/>
        <v/>
      </c>
      <c r="I120" s="22" t="s">
        <v>24</v>
      </c>
      <c r="K120" s="136"/>
      <c r="L120" s="136"/>
    </row>
    <row r="121" spans="1:14" x14ac:dyDescent="0.15">
      <c r="A121" s="24" t="s">
        <v>23</v>
      </c>
      <c r="B121" s="24"/>
      <c r="C121" s="24"/>
      <c r="D121" s="24"/>
      <c r="E121" s="23"/>
      <c r="F121" s="17"/>
      <c r="G121" s="96"/>
      <c r="H121" s="12"/>
      <c r="I121" s="22"/>
      <c r="K121" s="136"/>
      <c r="L121" s="136"/>
    </row>
    <row r="122" spans="1:14" x14ac:dyDescent="0.15">
      <c r="A122" s="24"/>
      <c r="B122" s="24"/>
      <c r="C122" s="24"/>
      <c r="D122" s="24"/>
      <c r="E122" s="23"/>
      <c r="F122" s="17"/>
      <c r="G122" s="96"/>
      <c r="H122" s="12"/>
      <c r="I122" s="22"/>
      <c r="K122" s="136"/>
      <c r="L122" s="136"/>
    </row>
    <row r="123" spans="1:14" x14ac:dyDescent="0.15">
      <c r="A123" s="24" t="s">
        <v>22</v>
      </c>
      <c r="B123" s="24"/>
      <c r="C123" s="24"/>
      <c r="D123" s="24"/>
      <c r="E123" s="23"/>
      <c r="F123" s="17"/>
      <c r="G123" s="13"/>
      <c r="H123" s="12"/>
      <c r="I123" s="22"/>
      <c r="K123" s="136"/>
      <c r="L123" s="136"/>
    </row>
    <row r="124" spans="1:14" ht="22.5" customHeight="1" x14ac:dyDescent="0.15">
      <c r="A124" s="24" t="s">
        <v>13</v>
      </c>
      <c r="B124" s="24"/>
      <c r="C124" s="24"/>
      <c r="D124" s="24"/>
      <c r="E124" s="23"/>
      <c r="F124" s="35">
        <f>IF(L77=5,ROUNDDOWN(F$35*(IF(H$10=1,(1+$L$82),1))*IF(E$20="業務用産業用",1,0),0)*IF(F115&lt;=F116,1,0),0)</f>
        <v>0</v>
      </c>
      <c r="G124" s="119" t="s">
        <v>21</v>
      </c>
      <c r="H124" s="119" t="str">
        <f t="shared" ref="H124:H125" si="8">IF(F124=0,"",IF(H$10=1,CHAR(10)&amp;"《税込み》",CHAR(10)&amp;"《税抜き》"))</f>
        <v/>
      </c>
      <c r="I124" s="22" t="s">
        <v>20</v>
      </c>
      <c r="K124" s="136"/>
      <c r="L124" s="136"/>
    </row>
    <row r="125" spans="1:14" ht="22.5" customHeight="1" x14ac:dyDescent="0.15">
      <c r="A125" s="24" t="s">
        <v>10</v>
      </c>
      <c r="B125" s="24"/>
      <c r="C125" s="24"/>
      <c r="D125" s="24"/>
      <c r="E125" s="23"/>
      <c r="F125" s="34">
        <f>IF(L77=5,ROUNDDOWN(IF(F115&lt;=F116,F115,0)*IF(H$10=1,(1+$L$82),1)*IF(E$20="業務用産業用",1,0),0)*IF(F115&lt;=F116,1,0),0)</f>
        <v>0</v>
      </c>
      <c r="G125" s="119" t="s">
        <v>19</v>
      </c>
      <c r="H125" s="119" t="str">
        <f t="shared" si="8"/>
        <v/>
      </c>
      <c r="I125" s="22" t="s">
        <v>18</v>
      </c>
      <c r="K125" s="136"/>
      <c r="L125" s="136"/>
    </row>
    <row r="126" spans="1:14" x14ac:dyDescent="0.15">
      <c r="A126" s="24" t="s">
        <v>17</v>
      </c>
      <c r="B126" s="24"/>
      <c r="C126" s="24"/>
      <c r="D126" s="24"/>
      <c r="E126" s="23"/>
      <c r="F126" s="17"/>
      <c r="G126" s="96"/>
      <c r="H126" s="12"/>
      <c r="I126" s="22"/>
      <c r="K126" s="136"/>
      <c r="L126" s="136"/>
    </row>
    <row r="127" spans="1:14" x14ac:dyDescent="0.15">
      <c r="K127" s="136"/>
      <c r="L127" s="136"/>
    </row>
    <row r="128" spans="1:14" x14ac:dyDescent="0.15">
      <c r="A128" s="26" t="s">
        <v>16</v>
      </c>
      <c r="B128" s="26"/>
      <c r="C128" s="26"/>
      <c r="D128" s="26"/>
      <c r="E128" s="23"/>
      <c r="F128" s="13"/>
      <c r="K128" s="136"/>
      <c r="L128" s="136"/>
    </row>
    <row r="129" spans="1:12" x14ac:dyDescent="0.15">
      <c r="A129" s="198" t="s">
        <v>15</v>
      </c>
      <c r="B129" s="198"/>
      <c r="C129" s="198"/>
      <c r="D129" s="99"/>
      <c r="F129" s="14"/>
      <c r="G129" s="7"/>
      <c r="K129" s="136"/>
      <c r="L129" s="136"/>
    </row>
    <row r="130" spans="1:12" x14ac:dyDescent="0.15">
      <c r="A130" s="199" t="s">
        <v>14</v>
      </c>
      <c r="B130" s="199"/>
      <c r="C130" s="199"/>
      <c r="D130" s="98"/>
      <c r="F130" s="17"/>
      <c r="G130" s="13"/>
      <c r="K130" s="136"/>
      <c r="L130" s="136"/>
    </row>
    <row r="131" spans="1:12" ht="21" customHeight="1" x14ac:dyDescent="0.15">
      <c r="A131" s="24" t="s">
        <v>13</v>
      </c>
      <c r="B131" s="24"/>
      <c r="C131" s="24"/>
      <c r="D131" s="24"/>
      <c r="E131" s="23"/>
      <c r="F131" s="33">
        <f>IF(L77=5,ROUNDDOWN(F$36*IF(H$10=1,(1+$L$82),1)*IF(E$20="業務用産業用",1,0),0),0)</f>
        <v>0</v>
      </c>
      <c r="G131" s="119" t="s">
        <v>138</v>
      </c>
      <c r="H131" s="119" t="str">
        <f t="shared" ref="H131:H132" si="9">IF(F131=0,"",IF(H$10=1,CHAR(10)&amp;"《税込み》",CHAR(10)&amp;"《税抜き》"))</f>
        <v/>
      </c>
      <c r="I131" s="8" t="s">
        <v>11</v>
      </c>
      <c r="K131" s="136"/>
      <c r="L131" s="136"/>
    </row>
    <row r="132" spans="1:12" ht="23.1" customHeight="1" x14ac:dyDescent="0.15">
      <c r="A132" s="24" t="s">
        <v>10</v>
      </c>
      <c r="B132" s="24"/>
      <c r="C132" s="24"/>
      <c r="D132" s="24"/>
      <c r="E132" s="23"/>
      <c r="F132" s="33">
        <f>IF(L77=5,ROUNDDOWN(F$36/2*IF(H$10=1,(1+$L$82),1)*IF(E$20="業務用産業用",1,0),0),0)</f>
        <v>0</v>
      </c>
      <c r="G132" s="119" t="s">
        <v>139</v>
      </c>
      <c r="H132" s="119" t="str">
        <f t="shared" si="9"/>
        <v/>
      </c>
      <c r="I132" s="8" t="s">
        <v>8</v>
      </c>
      <c r="K132" s="136"/>
      <c r="L132" s="136"/>
    </row>
    <row r="133" spans="1:12" x14ac:dyDescent="0.15">
      <c r="A133" s="24" t="s">
        <v>7</v>
      </c>
      <c r="B133" s="24"/>
      <c r="C133" s="24"/>
      <c r="D133" s="24"/>
      <c r="E133" s="23"/>
      <c r="F133" s="17"/>
      <c r="G133" s="96"/>
      <c r="H133" s="12"/>
      <c r="K133" s="136"/>
      <c r="L133" s="136"/>
    </row>
    <row r="134" spans="1:12" ht="8.25" customHeight="1" x14ac:dyDescent="0.15">
      <c r="A134" s="24"/>
      <c r="B134" s="24"/>
      <c r="C134" s="24"/>
      <c r="D134" s="24"/>
      <c r="E134" s="23"/>
      <c r="F134" s="17"/>
      <c r="G134" s="96"/>
      <c r="H134" s="12"/>
      <c r="K134" s="136"/>
      <c r="L134" s="136"/>
    </row>
    <row r="135" spans="1:12" ht="17.25" x14ac:dyDescent="0.15">
      <c r="A135" s="32" t="s">
        <v>6</v>
      </c>
      <c r="B135" s="32"/>
      <c r="C135" s="31"/>
      <c r="D135" s="31"/>
      <c r="E135" s="31"/>
      <c r="K135" s="136"/>
      <c r="L135" s="136"/>
    </row>
    <row r="139" spans="1:12" x14ac:dyDescent="0.15">
      <c r="F139" s="17"/>
      <c r="G139" s="96"/>
      <c r="H139" s="12"/>
      <c r="I139" s="22"/>
    </row>
    <row r="140" spans="1:12" x14ac:dyDescent="0.15">
      <c r="A140" s="29"/>
      <c r="B140" s="29"/>
      <c r="C140" s="29"/>
      <c r="D140" s="29"/>
      <c r="E140" s="23"/>
      <c r="F140" s="14"/>
      <c r="G140" s="7"/>
      <c r="H140" s="12"/>
    </row>
    <row r="141" spans="1:12" x14ac:dyDescent="0.15">
      <c r="A141" s="28"/>
      <c r="B141" s="28"/>
      <c r="C141" s="28"/>
      <c r="D141" s="28"/>
      <c r="E141" s="23"/>
      <c r="F141" s="14"/>
      <c r="G141" s="7"/>
      <c r="H141" s="12"/>
    </row>
    <row r="142" spans="1:12" x14ac:dyDescent="0.15">
      <c r="A142" s="24"/>
      <c r="B142" s="24"/>
      <c r="C142" s="24"/>
      <c r="D142" s="24"/>
      <c r="E142" s="23"/>
      <c r="F142" s="27"/>
      <c r="G142" s="7"/>
      <c r="H142" s="12"/>
      <c r="I142" s="22"/>
    </row>
    <row r="143" spans="1:12" x14ac:dyDescent="0.15">
      <c r="A143" s="24"/>
      <c r="B143" s="24"/>
      <c r="C143" s="24"/>
      <c r="D143" s="24"/>
      <c r="E143" s="23"/>
      <c r="F143" s="17"/>
      <c r="G143" s="13"/>
      <c r="H143" s="12"/>
      <c r="I143" s="22"/>
    </row>
    <row r="144" spans="1:12" x14ac:dyDescent="0.15">
      <c r="A144" s="24"/>
      <c r="B144" s="24"/>
      <c r="C144" s="24"/>
      <c r="D144" s="24"/>
      <c r="E144" s="23"/>
      <c r="F144" s="17"/>
      <c r="G144" s="96"/>
      <c r="H144" s="12"/>
      <c r="I144" s="22"/>
    </row>
    <row r="145" spans="1:9" x14ac:dyDescent="0.15">
      <c r="A145" s="24"/>
      <c r="B145" s="24"/>
      <c r="C145" s="24"/>
      <c r="D145" s="24"/>
      <c r="E145" s="23"/>
      <c r="F145" s="17"/>
      <c r="G145" s="96"/>
      <c r="H145" s="12"/>
      <c r="I145" s="22"/>
    </row>
    <row r="146" spans="1:9" x14ac:dyDescent="0.15">
      <c r="A146" s="24"/>
      <c r="B146" s="24"/>
      <c r="C146" s="24"/>
      <c r="D146" s="24"/>
      <c r="E146" s="23"/>
      <c r="F146" s="17"/>
      <c r="G146" s="96"/>
      <c r="H146" s="12"/>
      <c r="I146" s="22"/>
    </row>
    <row r="147" spans="1:9" x14ac:dyDescent="0.15">
      <c r="A147" s="24"/>
      <c r="B147" s="24"/>
      <c r="C147" s="24"/>
      <c r="D147" s="24"/>
      <c r="E147" s="23"/>
      <c r="F147" s="17"/>
      <c r="G147" s="96"/>
      <c r="H147" s="12"/>
      <c r="I147" s="22"/>
    </row>
    <row r="148" spans="1:9" x14ac:dyDescent="0.15">
      <c r="A148" s="24"/>
      <c r="B148" s="24"/>
      <c r="C148" s="24"/>
      <c r="D148" s="24"/>
      <c r="E148" s="23"/>
      <c r="F148" s="17"/>
      <c r="G148" s="13"/>
      <c r="H148" s="12"/>
      <c r="I148" s="22"/>
    </row>
    <row r="149" spans="1:9" x14ac:dyDescent="0.15">
      <c r="A149" s="24"/>
      <c r="B149" s="24"/>
      <c r="C149" s="24"/>
      <c r="D149" s="24"/>
      <c r="E149" s="23"/>
      <c r="F149" s="17"/>
      <c r="G149" s="96"/>
      <c r="H149" s="12"/>
      <c r="I149" s="22"/>
    </row>
    <row r="150" spans="1:9" x14ac:dyDescent="0.15">
      <c r="A150" s="24"/>
      <c r="B150" s="24"/>
      <c r="C150" s="24"/>
      <c r="D150" s="24"/>
      <c r="E150" s="23"/>
      <c r="F150" s="17"/>
      <c r="G150" s="96"/>
      <c r="H150" s="12"/>
      <c r="I150" s="22"/>
    </row>
    <row r="151" spans="1:9" x14ac:dyDescent="0.15">
      <c r="A151" s="24"/>
      <c r="B151" s="24"/>
      <c r="C151" s="24"/>
      <c r="D151" s="24"/>
      <c r="E151" s="23"/>
      <c r="F151" s="17"/>
      <c r="G151" s="96"/>
      <c r="H151" s="12"/>
      <c r="I151" s="22"/>
    </row>
    <row r="152" spans="1:9" x14ac:dyDescent="0.15">
      <c r="A152" s="15"/>
      <c r="B152" s="15"/>
      <c r="C152" s="15"/>
      <c r="D152" s="15"/>
      <c r="F152" s="17"/>
      <c r="G152" s="13"/>
      <c r="H152" s="12"/>
    </row>
    <row r="153" spans="1:9" x14ac:dyDescent="0.15">
      <c r="A153" s="26"/>
      <c r="B153" s="26"/>
      <c r="C153" s="26"/>
      <c r="D153" s="26"/>
      <c r="E153" s="23"/>
      <c r="F153" s="25"/>
      <c r="G153" s="12"/>
      <c r="H153" s="2"/>
    </row>
    <row r="154" spans="1:9" x14ac:dyDescent="0.15">
      <c r="A154" s="21"/>
      <c r="B154" s="21"/>
      <c r="C154" s="21"/>
      <c r="D154" s="21"/>
      <c r="E154" s="20"/>
      <c r="F154" s="25"/>
      <c r="G154" s="12"/>
      <c r="H154" s="2"/>
    </row>
    <row r="155" spans="1:9" x14ac:dyDescent="0.15">
      <c r="A155" s="18"/>
      <c r="B155" s="18"/>
      <c r="C155" s="18"/>
      <c r="D155" s="18"/>
      <c r="F155" s="25"/>
      <c r="G155" s="12"/>
      <c r="H155" s="2"/>
    </row>
    <row r="156" spans="1:9" x14ac:dyDescent="0.15">
      <c r="A156" s="18"/>
      <c r="B156" s="18"/>
      <c r="C156" s="18"/>
      <c r="D156" s="18"/>
      <c r="F156" s="25"/>
      <c r="G156" s="12"/>
      <c r="H156" s="2"/>
    </row>
    <row r="157" spans="1:9" x14ac:dyDescent="0.15">
      <c r="A157" s="24"/>
      <c r="B157" s="24"/>
      <c r="C157" s="24"/>
      <c r="D157" s="24"/>
      <c r="E157" s="23"/>
      <c r="F157" s="17"/>
      <c r="G157" s="13"/>
      <c r="H157" s="12"/>
      <c r="I157" s="22"/>
    </row>
    <row r="158" spans="1:9" x14ac:dyDescent="0.15">
      <c r="A158" s="24"/>
      <c r="B158" s="24"/>
      <c r="C158" s="24"/>
      <c r="D158" s="24"/>
      <c r="E158" s="23"/>
      <c r="F158" s="17"/>
      <c r="G158" s="96"/>
      <c r="H158" s="12"/>
      <c r="I158" s="22"/>
    </row>
    <row r="159" spans="1:9" x14ac:dyDescent="0.15">
      <c r="A159" s="24"/>
      <c r="B159" s="24"/>
      <c r="C159" s="24"/>
      <c r="D159" s="24"/>
      <c r="E159" s="23"/>
      <c r="F159" s="17"/>
      <c r="G159" s="96"/>
      <c r="H159" s="12"/>
      <c r="I159" s="22"/>
    </row>
    <row r="160" spans="1:9" x14ac:dyDescent="0.15">
      <c r="A160" s="24"/>
      <c r="B160" s="24"/>
      <c r="C160" s="24"/>
      <c r="D160" s="24"/>
      <c r="E160" s="23"/>
      <c r="F160" s="17"/>
      <c r="G160" s="96"/>
      <c r="H160" s="12"/>
      <c r="I160" s="22"/>
    </row>
    <row r="161" spans="1:9" x14ac:dyDescent="0.15">
      <c r="A161" s="24"/>
      <c r="B161" s="24"/>
      <c r="C161" s="24"/>
      <c r="D161" s="24"/>
      <c r="E161" s="23"/>
      <c r="F161" s="17"/>
      <c r="G161" s="96"/>
      <c r="H161" s="12"/>
      <c r="I161" s="22"/>
    </row>
    <row r="162" spans="1:9" x14ac:dyDescent="0.15">
      <c r="A162" s="24"/>
      <c r="B162" s="24"/>
      <c r="C162" s="24"/>
      <c r="D162" s="24"/>
      <c r="E162" s="23"/>
      <c r="F162" s="17"/>
      <c r="G162" s="13"/>
      <c r="H162" s="12"/>
      <c r="I162" s="22"/>
    </row>
    <row r="163" spans="1:9" x14ac:dyDescent="0.15">
      <c r="A163" s="24"/>
      <c r="B163" s="24"/>
      <c r="C163" s="24"/>
      <c r="D163" s="24"/>
      <c r="E163" s="23"/>
      <c r="F163" s="17"/>
      <c r="G163" s="96"/>
      <c r="H163" s="12"/>
      <c r="I163" s="22"/>
    </row>
    <row r="164" spans="1:9" x14ac:dyDescent="0.15">
      <c r="A164" s="24"/>
      <c r="B164" s="24"/>
      <c r="C164" s="24"/>
      <c r="D164" s="24"/>
      <c r="E164" s="23"/>
      <c r="F164" s="17"/>
      <c r="G164" s="96"/>
      <c r="H164" s="12"/>
      <c r="I164" s="22"/>
    </row>
    <row r="165" spans="1:9" x14ac:dyDescent="0.15">
      <c r="A165" s="24"/>
      <c r="B165" s="24"/>
      <c r="C165" s="24"/>
      <c r="D165" s="24"/>
      <c r="E165" s="23"/>
      <c r="F165" s="17"/>
      <c r="G165" s="96"/>
      <c r="H165" s="12"/>
      <c r="I165" s="22"/>
    </row>
    <row r="166" spans="1:9" x14ac:dyDescent="0.15">
      <c r="A166" s="15"/>
      <c r="B166" s="15"/>
      <c r="C166" s="15"/>
      <c r="D166" s="15"/>
      <c r="F166" s="17"/>
      <c r="G166" s="13"/>
      <c r="H166" s="12"/>
    </row>
    <row r="167" spans="1:9" x14ac:dyDescent="0.15">
      <c r="A167" s="21"/>
      <c r="B167" s="21"/>
      <c r="C167" s="21"/>
      <c r="D167" s="21"/>
      <c r="E167" s="20"/>
      <c r="F167" s="19"/>
    </row>
    <row r="168" spans="1:9" x14ac:dyDescent="0.15">
      <c r="A168" s="18"/>
      <c r="B168" s="18"/>
      <c r="C168" s="18"/>
      <c r="D168" s="18"/>
      <c r="F168" s="14"/>
      <c r="G168" s="7"/>
      <c r="H168" s="6"/>
    </row>
    <row r="169" spans="1:9" x14ac:dyDescent="0.15">
      <c r="A169" s="15"/>
      <c r="B169" s="15"/>
      <c r="C169" s="15"/>
      <c r="D169" s="15"/>
      <c r="F169" s="17"/>
      <c r="G169" s="13"/>
      <c r="H169" s="12"/>
      <c r="I169" s="16"/>
    </row>
    <row r="170" spans="1:9" x14ac:dyDescent="0.15">
      <c r="A170" s="15"/>
      <c r="B170" s="15"/>
      <c r="C170" s="15"/>
      <c r="D170" s="15"/>
      <c r="F170" s="14"/>
      <c r="G170" s="13"/>
      <c r="H170" s="12"/>
    </row>
  </sheetData>
  <sheetProtection algorithmName="SHA-512" hashValue="XydwucBP5BeZ/6LBiEM0NzQuO1mAPiiAPdbngViDnONXOSYT1PB4iJCa4FsZFLj/7OK+PoHdLaLC8UvKz93v0Q==" saltValue="+A28JBpINF9gfnDPMJYmog==" spinCount="100000" sheet="1" objects="1" scenarios="1"/>
  <mergeCells count="73">
    <mergeCell ref="F54:G54"/>
    <mergeCell ref="F55:G55"/>
    <mergeCell ref="I50:I59"/>
    <mergeCell ref="B49:D49"/>
    <mergeCell ref="F49:G49"/>
    <mergeCell ref="F51:G51"/>
    <mergeCell ref="F52:G52"/>
    <mergeCell ref="F53:G53"/>
    <mergeCell ref="B50:D55"/>
    <mergeCell ref="F50:G50"/>
    <mergeCell ref="F57:G57"/>
    <mergeCell ref="F58:G58"/>
    <mergeCell ref="F59:G59"/>
    <mergeCell ref="B56:D59"/>
    <mergeCell ref="H1:I1"/>
    <mergeCell ref="A38:D38"/>
    <mergeCell ref="A41:G41"/>
    <mergeCell ref="A43:G43"/>
    <mergeCell ref="A48:H48"/>
    <mergeCell ref="A47:F47"/>
    <mergeCell ref="K1:L1"/>
    <mergeCell ref="A15:D15"/>
    <mergeCell ref="A37:D37"/>
    <mergeCell ref="A17:D17"/>
    <mergeCell ref="A18:D18"/>
    <mergeCell ref="A19:D19"/>
    <mergeCell ref="A20:D20"/>
    <mergeCell ref="A24:H24"/>
    <mergeCell ref="A25:D25"/>
    <mergeCell ref="A26:D32"/>
    <mergeCell ref="E27:H27"/>
    <mergeCell ref="A33:D34"/>
    <mergeCell ref="A21:D21"/>
    <mergeCell ref="A16:D16"/>
    <mergeCell ref="D4:F4"/>
    <mergeCell ref="D5:F5"/>
    <mergeCell ref="A129:C129"/>
    <mergeCell ref="A130:C130"/>
    <mergeCell ref="A101:C101"/>
    <mergeCell ref="A115:C115"/>
    <mergeCell ref="G76:G77"/>
    <mergeCell ref="A77:D77"/>
    <mergeCell ref="E77:F77"/>
    <mergeCell ref="A80:H80"/>
    <mergeCell ref="A87:C87"/>
    <mergeCell ref="A76:D76"/>
    <mergeCell ref="E76:F76"/>
    <mergeCell ref="H76:H77"/>
    <mergeCell ref="B83:F83"/>
    <mergeCell ref="A79:F79"/>
    <mergeCell ref="E65:G65"/>
    <mergeCell ref="B68:D68"/>
    <mergeCell ref="E68:G68"/>
    <mergeCell ref="A62:D62"/>
    <mergeCell ref="E62:H62"/>
    <mergeCell ref="B64:D64"/>
    <mergeCell ref="E64:G64"/>
    <mergeCell ref="B60:D60"/>
    <mergeCell ref="B72:D72"/>
    <mergeCell ref="E72:G72"/>
    <mergeCell ref="F56:G56"/>
    <mergeCell ref="B66:D66"/>
    <mergeCell ref="B69:D69"/>
    <mergeCell ref="E69:G69"/>
    <mergeCell ref="B70:D70"/>
    <mergeCell ref="E70:G70"/>
    <mergeCell ref="B71:D71"/>
    <mergeCell ref="E71:G71"/>
    <mergeCell ref="E60:G60"/>
    <mergeCell ref="E66:G66"/>
    <mergeCell ref="B67:D67"/>
    <mergeCell ref="E67:G67"/>
    <mergeCell ref="B65:D65"/>
  </mergeCells>
  <phoneticPr fontId="1"/>
  <conditionalFormatting sqref="E21">
    <cfRule type="expression" dxfId="21" priority="14">
      <formula>$E$20="業務用産業用"</formula>
    </cfRule>
  </conditionalFormatting>
  <conditionalFormatting sqref="F21 E22:H22">
    <cfRule type="expression" dxfId="20" priority="13">
      <formula>$K$21="ERROR"</formula>
    </cfRule>
  </conditionalFormatting>
  <conditionalFormatting sqref="H65">
    <cfRule type="expression" dxfId="19" priority="12">
      <formula>$E$20="業務用産業用"</formula>
    </cfRule>
  </conditionalFormatting>
  <conditionalFormatting sqref="H68">
    <cfRule type="expression" dxfId="18" priority="11">
      <formula>$E$20="業務用産業用"</formula>
    </cfRule>
  </conditionalFormatting>
  <conditionalFormatting sqref="H69">
    <cfRule type="expression" dxfId="17" priority="10">
      <formula>$E$20="業務用産業用"</formula>
    </cfRule>
  </conditionalFormatting>
  <conditionalFormatting sqref="H70">
    <cfRule type="expression" dxfId="16" priority="9">
      <formula>$E$20="業務用産業用"</formula>
    </cfRule>
  </conditionalFormatting>
  <conditionalFormatting sqref="H71">
    <cfRule type="expression" dxfId="15" priority="8">
      <formula>$E$20="業務用産業用"</formula>
    </cfRule>
  </conditionalFormatting>
  <conditionalFormatting sqref="H72:H73">
    <cfRule type="expression" dxfId="14" priority="7">
      <formula>$E$20="業務用産業用"</formula>
    </cfRule>
  </conditionalFormatting>
  <conditionalFormatting sqref="H66:H67">
    <cfRule type="expression" dxfId="13" priority="5">
      <formula>$E$20="業務用産業用"</formula>
    </cfRule>
  </conditionalFormatting>
  <conditionalFormatting sqref="F82">
    <cfRule type="expression" dxfId="12" priority="1" stopIfTrue="1">
      <formula>$H$10=1</formula>
    </cfRule>
    <cfRule type="expression" dxfId="11" priority="2" stopIfTrue="1">
      <formula>$H$10&lt;&gt;1</formula>
    </cfRule>
  </conditionalFormatting>
  <dataValidations count="10">
    <dataValidation type="list" allowBlank="1" showInputMessage="1" showErrorMessage="1" sqref="H65:H72">
      <formula1>"－,○,×"</formula1>
    </dataValidation>
    <dataValidation type="list" allowBlank="1" showInputMessage="1" showErrorMessage="1" sqref="H44:H47">
      <formula1>"○,×"</formula1>
    </dataValidation>
    <dataValidation type="decimal" imeMode="off" operator="greaterThanOrEqual" allowBlank="1" showInputMessage="1" showErrorMessage="1" errorTitle="蓄電容量を確認ください。" error="初期実効容量が1.0kWh未満の蓄電システムは対象外となります。" sqref="E15">
      <formula1>1</formula1>
    </dataValidation>
    <dataValidation imeMode="off" allowBlank="1" showInputMessage="1" showErrorMessage="1" sqref="G26 G28:G34"/>
    <dataValidation type="list" errorStyle="warning" imeMode="off" operator="greaterThanOrEqual" allowBlank="1" showInputMessage="1" showErrorMessage="1" errorTitle="保証年数を確認ください。" error="「家庭用蓄電池」の場合、保証年数は１０年以上が補助対象となります。" sqref="E21">
      <formula1>"－,10年,11年,12年,13年,14年,15年以上"</formula1>
    </dataValidation>
    <dataValidation type="list" imeMode="off" allowBlank="1" showInputMessage="1" showErrorMessage="1" errorTitle="入力はプルダウンに従ってください。" error="第１号事業の場合は、地方公共団体「１」または非営利法人「２」、第６号事業の場合は民間企業等「３」が申請者となります。" sqref="H10">
      <formula1>INDIRECT($K$9)</formula1>
    </dataValidation>
    <dataValidation type="list" imeMode="off" allowBlank="1" showInputMessage="1" showErrorMessage="1" errorTitle="入力はプルダウンに従ってください" error="第１号事業の場合は「１」、第６号事業の場合は「６」を入力ください。" sqref="H9">
      <formula1>"1,6"</formula1>
    </dataValidation>
    <dataValidation imeMode="on" allowBlank="1" showInputMessage="1" showErrorMessage="1" sqref="D4:F5"/>
    <dataValidation type="decimal" imeMode="off" operator="greaterThanOrEqual" allowBlank="1" showInputMessage="1" showErrorMessage="1" sqref="E16:E18">
      <formula1>0</formula1>
    </dataValidation>
    <dataValidation type="list" allowBlank="1" showInputMessage="1" showErrorMessage="1" promptTitle="消費税率プルダウンリスト" prompt="プルダウンリストから選択してください" sqref="F82">
      <formula1>"8%,10％"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rowBreaks count="1" manualBreakCount="1">
    <brk id="7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3"/>
  <sheetViews>
    <sheetView showZeros="0" tabSelected="1" zoomScale="110" zoomScaleNormal="110" workbookViewId="0">
      <selection activeCell="Q13" sqref="Q13"/>
    </sheetView>
  </sheetViews>
  <sheetFormatPr defaultColWidth="9" defaultRowHeight="13.5" x14ac:dyDescent="0.15"/>
  <cols>
    <col min="1" max="1" width="2.875" style="11" customWidth="1"/>
    <col min="2" max="2" width="17.75" style="11" customWidth="1"/>
    <col min="3" max="4" width="3.125" style="11" customWidth="1"/>
    <col min="5" max="5" width="29" style="11" customWidth="1"/>
    <col min="6" max="6" width="14.25" style="11" customWidth="1"/>
    <col min="7" max="7" width="17.75" style="11" customWidth="1"/>
    <col min="8" max="8" width="12.875" style="11" customWidth="1"/>
    <col min="9" max="9" width="4.875" style="8" customWidth="1"/>
    <col min="10" max="10" width="4.125" style="2" customWidth="1"/>
    <col min="11" max="12" width="9" style="8" hidden="1" customWidth="1"/>
    <col min="13" max="13" width="4.125" style="2" hidden="1" customWidth="1"/>
    <col min="14" max="15" width="8.75" style="105" hidden="1" customWidth="1"/>
    <col min="16" max="16" width="14.125" style="105" customWidth="1"/>
    <col min="17" max="17" width="10" style="105" customWidth="1"/>
    <col min="18" max="16384" width="9" style="2"/>
  </cols>
  <sheetData>
    <row r="1" spans="1:15" ht="19.5" customHeight="1" x14ac:dyDescent="0.15">
      <c r="A1" s="11" t="s">
        <v>124</v>
      </c>
      <c r="G1" s="66" t="s">
        <v>123</v>
      </c>
      <c r="H1" s="236"/>
      <c r="I1" s="236"/>
      <c r="K1" s="214" t="s">
        <v>122</v>
      </c>
      <c r="L1" s="214"/>
      <c r="N1" s="105" t="s">
        <v>237</v>
      </c>
    </row>
    <row r="2" spans="1:15" ht="23.25" customHeight="1" x14ac:dyDescent="0.15">
      <c r="A2" s="65" t="s">
        <v>208</v>
      </c>
      <c r="B2" s="65"/>
      <c r="C2" s="64"/>
      <c r="D2" s="64"/>
      <c r="E2" s="64"/>
      <c r="F2" s="64"/>
      <c r="G2" s="64"/>
      <c r="H2" s="63"/>
      <c r="I2" s="63"/>
      <c r="K2" s="136"/>
      <c r="L2" s="136"/>
    </row>
    <row r="3" spans="1:15" ht="6" customHeight="1" x14ac:dyDescent="0.15">
      <c r="A3" s="65"/>
      <c r="B3" s="65"/>
      <c r="C3" s="64"/>
      <c r="D3" s="64"/>
      <c r="E3" s="64"/>
      <c r="F3" s="64"/>
      <c r="G3" s="64"/>
      <c r="H3" s="63"/>
      <c r="I3" s="63"/>
      <c r="K3" s="136"/>
      <c r="L3" s="136"/>
    </row>
    <row r="4" spans="1:15" ht="16.5" customHeight="1" x14ac:dyDescent="0.15">
      <c r="A4" s="109" t="s">
        <v>235</v>
      </c>
      <c r="B4" s="109"/>
      <c r="C4" s="110" t="s">
        <v>196</v>
      </c>
      <c r="D4" s="232"/>
      <c r="E4" s="233"/>
      <c r="F4" s="233"/>
      <c r="G4" s="64"/>
      <c r="H4" s="63"/>
      <c r="I4" s="63"/>
      <c r="K4" s="136"/>
      <c r="L4" s="136"/>
    </row>
    <row r="5" spans="1:15" ht="16.5" customHeight="1" x14ac:dyDescent="0.15">
      <c r="A5" s="111" t="s">
        <v>121</v>
      </c>
      <c r="B5" s="109"/>
      <c r="C5" s="110" t="s">
        <v>196</v>
      </c>
      <c r="D5" s="234"/>
      <c r="E5" s="235"/>
      <c r="F5" s="235"/>
      <c r="G5" s="64"/>
      <c r="H5" s="63"/>
      <c r="I5" s="63"/>
      <c r="K5" s="136"/>
      <c r="L5" s="136"/>
    </row>
    <row r="6" spans="1:15" ht="6" customHeight="1" x14ac:dyDescent="0.15">
      <c r="A6" s="62"/>
      <c r="B6" s="62"/>
      <c r="C6" s="62"/>
      <c r="D6" s="62"/>
      <c r="E6" s="62"/>
      <c r="F6" s="62"/>
      <c r="G6" s="62"/>
      <c r="H6" s="8"/>
      <c r="K6" s="136"/>
      <c r="L6" s="136"/>
    </row>
    <row r="7" spans="1:15" x14ac:dyDescent="0.15">
      <c r="A7" s="11" t="s">
        <v>195</v>
      </c>
      <c r="K7" s="136"/>
      <c r="L7" s="136"/>
    </row>
    <row r="8" spans="1:15" x14ac:dyDescent="0.15">
      <c r="K8" s="136"/>
      <c r="L8" s="136"/>
    </row>
    <row r="9" spans="1:15" ht="15" customHeight="1" x14ac:dyDescent="0.15">
      <c r="A9" s="61" t="s">
        <v>118</v>
      </c>
      <c r="B9" s="61"/>
      <c r="C9" s="61"/>
      <c r="D9" s="61"/>
      <c r="E9" s="61"/>
      <c r="F9" s="61"/>
      <c r="G9" s="87" t="s">
        <v>135</v>
      </c>
      <c r="H9" s="76"/>
      <c r="K9" s="136"/>
      <c r="L9" s="136"/>
      <c r="N9" s="106"/>
    </row>
    <row r="10" spans="1:15" x14ac:dyDescent="0.15">
      <c r="K10" s="136"/>
      <c r="L10" s="136"/>
    </row>
    <row r="11" spans="1:15" x14ac:dyDescent="0.15">
      <c r="A11" s="41" t="s">
        <v>117</v>
      </c>
      <c r="B11" s="41"/>
      <c r="C11" s="41"/>
      <c r="D11" s="41"/>
      <c r="K11" s="136"/>
      <c r="L11" s="136"/>
    </row>
    <row r="12" spans="1:15" x14ac:dyDescent="0.15">
      <c r="A12" s="11" t="s">
        <v>115</v>
      </c>
      <c r="K12" s="136"/>
      <c r="L12" s="136"/>
    </row>
    <row r="13" spans="1:15" x14ac:dyDescent="0.15">
      <c r="E13" s="41" t="s">
        <v>114</v>
      </c>
      <c r="G13" s="1"/>
      <c r="H13" s="1"/>
      <c r="I13" s="8" t="s">
        <v>1</v>
      </c>
      <c r="K13" s="136"/>
      <c r="L13" s="136"/>
    </row>
    <row r="14" spans="1:15" ht="26.25" customHeight="1" x14ac:dyDescent="0.15">
      <c r="A14" s="215" t="s">
        <v>194</v>
      </c>
      <c r="B14" s="216"/>
      <c r="C14" s="216"/>
      <c r="D14" s="217"/>
      <c r="E14" s="145"/>
      <c r="F14" s="125" t="s">
        <v>193</v>
      </c>
      <c r="G14" s="158"/>
      <c r="H14" s="158"/>
      <c r="I14" s="10" t="s">
        <v>0</v>
      </c>
      <c r="K14" s="136"/>
      <c r="L14" s="136" t="str">
        <f>IF(E14="","",IF(E14&lt;3,1,2))</f>
        <v/>
      </c>
      <c r="M14" s="161"/>
      <c r="N14" s="170"/>
      <c r="O14" s="170"/>
    </row>
    <row r="15" spans="1:15" ht="26.25" customHeight="1" x14ac:dyDescent="0.15">
      <c r="A15" s="215" t="s">
        <v>157</v>
      </c>
      <c r="B15" s="216"/>
      <c r="C15" s="216"/>
      <c r="D15" s="217"/>
      <c r="E15" s="144"/>
      <c r="F15" s="129" t="s">
        <v>192</v>
      </c>
      <c r="G15" s="158"/>
      <c r="H15" s="158"/>
      <c r="I15" s="10" t="s">
        <v>191</v>
      </c>
      <c r="K15" s="136"/>
      <c r="L15" s="136"/>
      <c r="M15" s="161"/>
      <c r="N15" s="170"/>
      <c r="O15" s="170"/>
    </row>
    <row r="16" spans="1:15" ht="26.25" customHeight="1" x14ac:dyDescent="0.15">
      <c r="A16" s="220" t="s">
        <v>190</v>
      </c>
      <c r="B16" s="221"/>
      <c r="C16" s="221"/>
      <c r="D16" s="221"/>
      <c r="E16" s="144"/>
      <c r="F16" s="39" t="s">
        <v>112</v>
      </c>
      <c r="G16" s="1"/>
      <c r="H16" s="1"/>
      <c r="I16" s="10" t="s">
        <v>189</v>
      </c>
      <c r="K16" s="136"/>
      <c r="L16" s="136" t="str">
        <f>IF(E16="","",IF(E16&lt;1000,1,2))</f>
        <v/>
      </c>
      <c r="M16" s="161"/>
      <c r="N16" s="172">
        <v>1</v>
      </c>
      <c r="O16" s="172">
        <v>2</v>
      </c>
    </row>
    <row r="17" spans="1:15" ht="26.25" customHeight="1" thickBot="1" x14ac:dyDescent="0.2">
      <c r="A17" s="220" t="s">
        <v>188</v>
      </c>
      <c r="B17" s="221"/>
      <c r="C17" s="221"/>
      <c r="D17" s="221"/>
      <c r="E17" s="145"/>
      <c r="F17" s="39" t="s">
        <v>112</v>
      </c>
      <c r="G17" s="1"/>
      <c r="H17" s="1"/>
      <c r="I17" s="10" t="s">
        <v>187</v>
      </c>
      <c r="K17" s="136"/>
      <c r="L17" s="136"/>
      <c r="M17" s="161"/>
      <c r="N17" s="172">
        <v>3</v>
      </c>
      <c r="O17" s="173">
        <v>4</v>
      </c>
    </row>
    <row r="18" spans="1:15" ht="26.25" customHeight="1" thickBot="1" x14ac:dyDescent="0.2">
      <c r="A18" s="220" t="s">
        <v>186</v>
      </c>
      <c r="B18" s="221"/>
      <c r="C18" s="221"/>
      <c r="D18" s="221"/>
      <c r="E18" s="112">
        <f>IF(E16=0,0,E14/E16)</f>
        <v>0</v>
      </c>
      <c r="F18" s="133" t="s">
        <v>185</v>
      </c>
      <c r="G18" s="1"/>
      <c r="H18" s="1"/>
      <c r="I18" s="10" t="s">
        <v>5</v>
      </c>
      <c r="K18" s="136"/>
      <c r="L18" s="136"/>
      <c r="M18" s="161"/>
      <c r="N18" s="170"/>
      <c r="O18" s="174" t="e">
        <f>INDEX(N16:O17,L14,L16)</f>
        <v>#VALUE!</v>
      </c>
    </row>
    <row r="19" spans="1:15" ht="42" customHeight="1" x14ac:dyDescent="0.15">
      <c r="A19" s="220" t="s">
        <v>184</v>
      </c>
      <c r="B19" s="221"/>
      <c r="C19" s="221"/>
      <c r="D19" s="221"/>
      <c r="E19" s="60" t="str">
        <f>IF(OR(E15=0,E18=0),"",IF(AND(E15&lt;4800,E18&gt;=2),"家庭用","業務用産業用"))</f>
        <v/>
      </c>
      <c r="F19" s="131" t="s">
        <v>183</v>
      </c>
      <c r="G19" s="132"/>
      <c r="H19" s="130"/>
      <c r="I19" s="10" t="s">
        <v>182</v>
      </c>
      <c r="K19" s="136"/>
      <c r="L19" s="137"/>
    </row>
    <row r="20" spans="1:15" ht="26.25" customHeight="1" x14ac:dyDescent="0.15">
      <c r="A20" s="220" t="s">
        <v>156</v>
      </c>
      <c r="B20" s="221"/>
      <c r="C20" s="221"/>
      <c r="D20" s="221"/>
      <c r="E20" s="79"/>
      <c r="F20" s="142" t="s">
        <v>181</v>
      </c>
      <c r="G20" s="143"/>
      <c r="H20" s="143"/>
      <c r="I20" s="10" t="s">
        <v>180</v>
      </c>
      <c r="K20" s="138"/>
      <c r="L20" s="136"/>
      <c r="N20" s="106"/>
    </row>
    <row r="21" spans="1:15" ht="9" customHeight="1" x14ac:dyDescent="0.15">
      <c r="A21" s="126"/>
      <c r="B21" s="127"/>
      <c r="C21" s="127"/>
      <c r="D21" s="127"/>
      <c r="E21" s="128"/>
      <c r="F21" s="128"/>
      <c r="G21" s="121"/>
      <c r="H21" s="121"/>
      <c r="I21" s="10"/>
      <c r="K21" s="138"/>
      <c r="L21" s="136"/>
      <c r="N21" s="106"/>
    </row>
    <row r="22" spans="1:15" x14ac:dyDescent="0.15">
      <c r="A22" s="41" t="s">
        <v>108</v>
      </c>
      <c r="B22" s="41"/>
      <c r="C22" s="41"/>
      <c r="D22" s="41"/>
      <c r="K22" s="136"/>
      <c r="L22" s="136"/>
      <c r="N22" s="106"/>
    </row>
    <row r="23" spans="1:15" ht="25.5" customHeight="1" x14ac:dyDescent="0.15">
      <c r="A23" s="222" t="s">
        <v>107</v>
      </c>
      <c r="B23" s="222"/>
      <c r="C23" s="222"/>
      <c r="D23" s="222"/>
      <c r="E23" s="222"/>
      <c r="F23" s="222"/>
      <c r="G23" s="222"/>
      <c r="H23" s="222"/>
      <c r="K23" s="136"/>
      <c r="L23" s="136"/>
    </row>
    <row r="24" spans="1:15" ht="30" customHeight="1" x14ac:dyDescent="0.15">
      <c r="A24" s="223" t="s">
        <v>2</v>
      </c>
      <c r="B24" s="224"/>
      <c r="C24" s="224"/>
      <c r="D24" s="225"/>
      <c r="E24" s="150" t="s">
        <v>179</v>
      </c>
      <c r="F24" s="3" t="s">
        <v>105</v>
      </c>
      <c r="G24" s="152" t="s">
        <v>104</v>
      </c>
      <c r="H24" s="152" t="s">
        <v>103</v>
      </c>
      <c r="K24" s="136"/>
      <c r="L24" s="136"/>
    </row>
    <row r="25" spans="1:15" ht="20.25" customHeight="1" x14ac:dyDescent="0.15">
      <c r="A25" s="226" t="s">
        <v>178</v>
      </c>
      <c r="B25" s="227"/>
      <c r="C25" s="227"/>
      <c r="D25" s="227"/>
      <c r="E25" s="91" t="s">
        <v>102</v>
      </c>
      <c r="F25" s="86"/>
      <c r="G25" s="180"/>
      <c r="H25" s="57">
        <f>ROUNDDOWN(G25,0)</f>
        <v>0</v>
      </c>
      <c r="K25" s="136"/>
      <c r="L25" s="136"/>
    </row>
    <row r="26" spans="1:15" ht="20.25" customHeight="1" x14ac:dyDescent="0.15">
      <c r="A26" s="226"/>
      <c r="B26" s="227"/>
      <c r="C26" s="227"/>
      <c r="D26" s="227"/>
      <c r="E26" s="229" t="s">
        <v>101</v>
      </c>
      <c r="F26" s="224"/>
      <c r="G26" s="224"/>
      <c r="H26" s="225"/>
      <c r="K26" s="136"/>
      <c r="L26" s="136"/>
    </row>
    <row r="27" spans="1:15" ht="20.25" customHeight="1" x14ac:dyDescent="0.15">
      <c r="A27" s="228"/>
      <c r="B27" s="227"/>
      <c r="C27" s="227"/>
      <c r="D27" s="227"/>
      <c r="E27" s="73" t="s">
        <v>100</v>
      </c>
      <c r="F27" s="86"/>
      <c r="G27" s="58"/>
      <c r="H27" s="57">
        <f>ROUNDDOWN(G27,0)</f>
        <v>0</v>
      </c>
      <c r="K27" s="136"/>
      <c r="L27" s="136"/>
    </row>
    <row r="28" spans="1:15" ht="25.5" customHeight="1" x14ac:dyDescent="0.15">
      <c r="A28" s="228"/>
      <c r="B28" s="227"/>
      <c r="C28" s="227"/>
      <c r="D28" s="227"/>
      <c r="E28" s="74" t="s">
        <v>99</v>
      </c>
      <c r="F28" s="86"/>
      <c r="G28" s="58"/>
      <c r="H28" s="57">
        <f>ROUNDDOWN(G28,0)</f>
        <v>0</v>
      </c>
      <c r="K28" s="136"/>
      <c r="L28" s="136"/>
      <c r="N28" s="106"/>
    </row>
    <row r="29" spans="1:15" ht="48" customHeight="1" x14ac:dyDescent="0.15">
      <c r="A29" s="228"/>
      <c r="B29" s="227"/>
      <c r="C29" s="227"/>
      <c r="D29" s="227"/>
      <c r="E29" s="75" t="s">
        <v>177</v>
      </c>
      <c r="F29" s="86"/>
      <c r="G29" s="58"/>
      <c r="H29" s="57">
        <f>IF((G29-E17*10000)&lt;0,0,ROUNDDOWN((G29-E17*10000),0))</f>
        <v>0</v>
      </c>
      <c r="K29" s="136"/>
      <c r="L29" s="136"/>
    </row>
    <row r="30" spans="1:15" ht="20.25" customHeight="1" x14ac:dyDescent="0.15">
      <c r="A30" s="228"/>
      <c r="B30" s="227"/>
      <c r="C30" s="227"/>
      <c r="D30" s="227"/>
      <c r="E30" s="91" t="s">
        <v>98</v>
      </c>
      <c r="F30" s="86"/>
      <c r="G30" s="58"/>
      <c r="H30" s="57">
        <f>ROUNDDOWN(G30,0)</f>
        <v>0</v>
      </c>
      <c r="I30" s="59"/>
      <c r="K30" s="136"/>
      <c r="L30" s="136"/>
    </row>
    <row r="31" spans="1:15" ht="20.25" customHeight="1" x14ac:dyDescent="0.15">
      <c r="A31" s="228"/>
      <c r="B31" s="227"/>
      <c r="C31" s="227"/>
      <c r="D31" s="227"/>
      <c r="E31" s="91" t="s">
        <v>97</v>
      </c>
      <c r="F31" s="86"/>
      <c r="G31" s="58"/>
      <c r="H31" s="57">
        <f>ROUNDDOWN(G31,0)</f>
        <v>0</v>
      </c>
      <c r="I31" s="59"/>
      <c r="K31" s="136"/>
      <c r="L31" s="136"/>
    </row>
    <row r="32" spans="1:15" ht="20.25" customHeight="1" x14ac:dyDescent="0.15">
      <c r="A32" s="230" t="s">
        <v>96</v>
      </c>
      <c r="B32" s="231"/>
      <c r="C32" s="231"/>
      <c r="D32" s="231"/>
      <c r="E32" s="118" t="s">
        <v>4</v>
      </c>
      <c r="F32" s="86"/>
      <c r="G32" s="58"/>
      <c r="H32" s="57">
        <f>ROUNDDOWN(G32,0)</f>
        <v>0</v>
      </c>
      <c r="K32" s="136"/>
      <c r="L32" s="136"/>
    </row>
    <row r="33" spans="1:17" ht="20.25" customHeight="1" thickBot="1" x14ac:dyDescent="0.2">
      <c r="A33" s="230"/>
      <c r="B33" s="231"/>
      <c r="C33" s="231"/>
      <c r="D33" s="231"/>
      <c r="E33" s="93" t="s">
        <v>95</v>
      </c>
      <c r="F33" s="86"/>
      <c r="G33" s="58"/>
      <c r="H33" s="57">
        <f>ROUNDDOWN(G33,0)</f>
        <v>0</v>
      </c>
      <c r="K33" s="136"/>
      <c r="L33" s="136"/>
    </row>
    <row r="34" spans="1:17" ht="23.25" thickBot="1" x14ac:dyDescent="0.2">
      <c r="A34" s="5"/>
      <c r="B34" s="5"/>
      <c r="C34" s="5"/>
      <c r="D34" s="5"/>
      <c r="E34" s="55" t="s">
        <v>94</v>
      </c>
      <c r="F34" s="54">
        <f>SUM(H25:H31)</f>
        <v>0</v>
      </c>
      <c r="G34" s="56" t="s">
        <v>93</v>
      </c>
      <c r="H34" s="39" t="s">
        <v>86</v>
      </c>
      <c r="I34" s="10" t="s">
        <v>92</v>
      </c>
      <c r="K34" s="136"/>
      <c r="L34" s="136"/>
    </row>
    <row r="35" spans="1:17" ht="21.95" customHeight="1" thickBot="1" x14ac:dyDescent="0.2">
      <c r="A35" s="5"/>
      <c r="B35" s="5"/>
      <c r="C35" s="5"/>
      <c r="D35" s="5"/>
      <c r="E35" s="55" t="s">
        <v>91</v>
      </c>
      <c r="F35" s="54">
        <f>SUM(H32:H33)</f>
        <v>0</v>
      </c>
      <c r="G35" s="56" t="s">
        <v>90</v>
      </c>
      <c r="H35" s="39" t="s">
        <v>86</v>
      </c>
      <c r="I35" s="10" t="s">
        <v>89</v>
      </c>
      <c r="K35" s="136"/>
      <c r="L35" s="136"/>
    </row>
    <row r="36" spans="1:17" ht="22.5" thickBot="1" x14ac:dyDescent="0.2">
      <c r="A36" s="218" t="s">
        <v>130</v>
      </c>
      <c r="B36" s="218"/>
      <c r="C36" s="219"/>
      <c r="D36" s="219"/>
      <c r="E36" s="55" t="s">
        <v>88</v>
      </c>
      <c r="F36" s="54">
        <f>IF(E14=0,0,IF(E19="家庭用",ROUNDDOWN(F34/E14,0),"　　　　　　　－"))</f>
        <v>0</v>
      </c>
      <c r="G36" s="53" t="s">
        <v>87</v>
      </c>
      <c r="H36" s="39" t="s">
        <v>86</v>
      </c>
      <c r="I36" s="10" t="s">
        <v>85</v>
      </c>
      <c r="K36" s="136"/>
      <c r="L36" s="136"/>
    </row>
    <row r="37" spans="1:17" ht="22.5" thickBot="1" x14ac:dyDescent="0.2">
      <c r="A37" s="218" t="s">
        <v>131</v>
      </c>
      <c r="B37" s="218"/>
      <c r="C37" s="219"/>
      <c r="D37" s="219"/>
      <c r="E37" s="55" t="s">
        <v>132</v>
      </c>
      <c r="F37" s="54">
        <f>IF(E16=0,0,IF(E19="業務用産業用",ROUNDDOWN(F34/E16,0),"　　　　　　　－"))</f>
        <v>0</v>
      </c>
      <c r="G37" s="53" t="s">
        <v>176</v>
      </c>
      <c r="H37" s="39" t="s">
        <v>86</v>
      </c>
      <c r="I37" s="10" t="s">
        <v>175</v>
      </c>
      <c r="K37" s="136"/>
      <c r="L37" s="136"/>
      <c r="N37" s="106"/>
    </row>
    <row r="38" spans="1:17" ht="10.5" customHeight="1" x14ac:dyDescent="0.15">
      <c r="E38" s="51"/>
      <c r="F38" s="52"/>
      <c r="K38" s="136"/>
      <c r="L38" s="136"/>
    </row>
    <row r="39" spans="1:17" x14ac:dyDescent="0.15">
      <c r="A39" s="41" t="s">
        <v>84</v>
      </c>
      <c r="B39" s="41"/>
      <c r="C39" s="41"/>
      <c r="D39" s="41"/>
      <c r="E39" s="51"/>
      <c r="K39" s="136"/>
      <c r="L39" s="136"/>
    </row>
    <row r="40" spans="1:17" ht="25.5" customHeight="1" x14ac:dyDescent="0.15">
      <c r="A40" s="237" t="s">
        <v>83</v>
      </c>
      <c r="B40" s="237"/>
      <c r="C40" s="237"/>
      <c r="D40" s="237"/>
      <c r="E40" s="208"/>
      <c r="F40" s="208"/>
      <c r="G40" s="208"/>
      <c r="K40" s="136"/>
      <c r="L40" s="136"/>
    </row>
    <row r="41" spans="1:17" ht="7.5" customHeight="1" x14ac:dyDescent="0.15">
      <c r="E41" s="51"/>
      <c r="K41" s="136"/>
      <c r="L41" s="136"/>
    </row>
    <row r="42" spans="1:17" ht="20.25" customHeight="1" x14ac:dyDescent="0.15">
      <c r="A42" s="238" t="s">
        <v>3</v>
      </c>
      <c r="B42" s="239"/>
      <c r="C42" s="239"/>
      <c r="D42" s="239"/>
      <c r="E42" s="240"/>
      <c r="F42" s="240"/>
      <c r="G42" s="241"/>
      <c r="H42" s="50" t="s">
        <v>174</v>
      </c>
      <c r="K42" s="136"/>
      <c r="L42" s="136"/>
    </row>
    <row r="43" spans="1:17" ht="20.25" customHeight="1" x14ac:dyDescent="0.15">
      <c r="A43" s="49" t="s">
        <v>81</v>
      </c>
      <c r="B43" s="47"/>
      <c r="C43" s="47"/>
      <c r="D43" s="47"/>
      <c r="E43" s="47"/>
      <c r="F43" s="47"/>
      <c r="G43" s="88" t="s">
        <v>135</v>
      </c>
      <c r="H43" s="77"/>
      <c r="K43" s="85">
        <f>IF(H43="○",1,0)</f>
        <v>0</v>
      </c>
      <c r="L43" s="146"/>
    </row>
    <row r="44" spans="1:17" ht="20.25" customHeight="1" x14ac:dyDescent="0.15">
      <c r="A44" s="49" t="s">
        <v>80</v>
      </c>
      <c r="B44" s="47"/>
      <c r="C44" s="47"/>
      <c r="D44" s="47"/>
      <c r="E44" s="47"/>
      <c r="F44" s="47"/>
      <c r="G44" s="88" t="s">
        <v>135</v>
      </c>
      <c r="H44" s="77"/>
      <c r="K44" s="85">
        <f>IF(H44="○",1,0)</f>
        <v>0</v>
      </c>
      <c r="L44" s="146"/>
    </row>
    <row r="45" spans="1:17" ht="20.25" customHeight="1" x14ac:dyDescent="0.15">
      <c r="A45" s="67" t="s">
        <v>224</v>
      </c>
      <c r="B45" s="48"/>
      <c r="C45" s="48"/>
      <c r="D45" s="48"/>
      <c r="E45" s="47"/>
      <c r="F45" s="47"/>
      <c r="G45" s="88" t="s">
        <v>135</v>
      </c>
      <c r="H45" s="77"/>
      <c r="K45" s="85">
        <f>IF(H45="○",1,0)</f>
        <v>0</v>
      </c>
      <c r="L45" s="136"/>
    </row>
    <row r="46" spans="1:17" s="71" customFormat="1" ht="87" customHeight="1" x14ac:dyDescent="0.15">
      <c r="A46" s="242" t="s">
        <v>233</v>
      </c>
      <c r="B46" s="243"/>
      <c r="C46" s="243"/>
      <c r="D46" s="243"/>
      <c r="E46" s="244"/>
      <c r="F46" s="244"/>
      <c r="G46" s="244"/>
      <c r="H46" s="245"/>
      <c r="I46" s="9"/>
      <c r="K46" s="140"/>
      <c r="L46" s="140"/>
      <c r="N46" s="106"/>
      <c r="O46" s="107"/>
      <c r="P46" s="107"/>
      <c r="Q46" s="107"/>
    </row>
    <row r="47" spans="1:17" x14ac:dyDescent="0.15">
      <c r="A47" s="81"/>
      <c r="B47" s="251" t="s">
        <v>79</v>
      </c>
      <c r="C47" s="252"/>
      <c r="D47" s="253"/>
      <c r="E47" s="45" t="s">
        <v>78</v>
      </c>
      <c r="F47" s="254" t="s">
        <v>77</v>
      </c>
      <c r="G47" s="255"/>
      <c r="H47" s="151" t="s">
        <v>173</v>
      </c>
      <c r="I47" s="46"/>
      <c r="K47" s="136"/>
      <c r="L47" s="136"/>
    </row>
    <row r="48" spans="1:17" ht="15" customHeight="1" x14ac:dyDescent="0.15">
      <c r="A48" s="81"/>
      <c r="B48" s="256" t="s">
        <v>75</v>
      </c>
      <c r="C48" s="257"/>
      <c r="D48" s="258"/>
      <c r="E48" s="45" t="s">
        <v>74</v>
      </c>
      <c r="F48" s="188" t="s">
        <v>204</v>
      </c>
      <c r="G48" s="189"/>
      <c r="H48" s="72" t="str">
        <f>IF($E$19="家庭用",IF(E$20="－","",IF(E$20="10年","該当","")),"")</f>
        <v/>
      </c>
      <c r="I48" s="269" t="s">
        <v>73</v>
      </c>
      <c r="K48" s="85">
        <f t="shared" ref="K48:K57" si="0">IF(H48="該当",1,0)</f>
        <v>0</v>
      </c>
      <c r="L48" s="135">
        <v>90000</v>
      </c>
    </row>
    <row r="49" spans="1:17" ht="13.5" customHeight="1" x14ac:dyDescent="0.15">
      <c r="A49" s="68"/>
      <c r="B49" s="259"/>
      <c r="C49" s="260"/>
      <c r="D49" s="261"/>
      <c r="E49" s="45" t="s">
        <v>72</v>
      </c>
      <c r="F49" s="188" t="s">
        <v>203</v>
      </c>
      <c r="G49" s="189"/>
      <c r="H49" s="72" t="str">
        <f>IF($E$19="家庭用",IF(E$20="－","",IF(E$20="11年","該当","")),"")</f>
        <v/>
      </c>
      <c r="I49" s="269"/>
      <c r="K49" s="85">
        <f t="shared" si="0"/>
        <v>0</v>
      </c>
      <c r="L49" s="135">
        <v>99000</v>
      </c>
    </row>
    <row r="50" spans="1:17" ht="13.5" customHeight="1" x14ac:dyDescent="0.15">
      <c r="A50" s="68"/>
      <c r="B50" s="259"/>
      <c r="C50" s="260"/>
      <c r="D50" s="261"/>
      <c r="E50" s="45" t="s">
        <v>71</v>
      </c>
      <c r="F50" s="188" t="s">
        <v>206</v>
      </c>
      <c r="G50" s="189"/>
      <c r="H50" s="72" t="str">
        <f>IF($E$19="家庭用",IF(E$20="－","",IF(E$20="12年","該当","")),"")</f>
        <v/>
      </c>
      <c r="I50" s="269"/>
      <c r="K50" s="85">
        <f t="shared" si="0"/>
        <v>0</v>
      </c>
      <c r="L50" s="135">
        <v>108000</v>
      </c>
    </row>
    <row r="51" spans="1:17" ht="13.5" customHeight="1" x14ac:dyDescent="0.15">
      <c r="A51" s="68"/>
      <c r="B51" s="259"/>
      <c r="C51" s="260"/>
      <c r="D51" s="261"/>
      <c r="E51" s="45" t="s">
        <v>70</v>
      </c>
      <c r="F51" s="188" t="s">
        <v>202</v>
      </c>
      <c r="G51" s="189"/>
      <c r="H51" s="72" t="str">
        <f>IF($E$19="家庭用",IF(E$20="－","",IF(E$20="13年","該当","")),"")</f>
        <v/>
      </c>
      <c r="I51" s="269"/>
      <c r="K51" s="85">
        <f t="shared" si="0"/>
        <v>0</v>
      </c>
      <c r="L51" s="135">
        <v>117000</v>
      </c>
    </row>
    <row r="52" spans="1:17" ht="13.5" customHeight="1" x14ac:dyDescent="0.15">
      <c r="A52" s="68"/>
      <c r="B52" s="259"/>
      <c r="C52" s="260"/>
      <c r="D52" s="261"/>
      <c r="E52" s="45" t="s">
        <v>69</v>
      </c>
      <c r="F52" s="188" t="s">
        <v>201</v>
      </c>
      <c r="G52" s="189"/>
      <c r="H52" s="72" t="str">
        <f>IF($E$19="家庭用",IF(E$20="－","",IF(E$20="14年","該当","")),"")</f>
        <v/>
      </c>
      <c r="I52" s="269"/>
      <c r="K52" s="85">
        <f t="shared" si="0"/>
        <v>0</v>
      </c>
      <c r="L52" s="135">
        <v>126000</v>
      </c>
    </row>
    <row r="53" spans="1:17" ht="13.5" customHeight="1" x14ac:dyDescent="0.15">
      <c r="A53" s="68"/>
      <c r="B53" s="270"/>
      <c r="C53" s="271"/>
      <c r="D53" s="272"/>
      <c r="E53" s="45" t="s">
        <v>68</v>
      </c>
      <c r="F53" s="188" t="s">
        <v>200</v>
      </c>
      <c r="G53" s="189"/>
      <c r="H53" s="72" t="str">
        <f>IF($E$19="家庭用",IF(E$20="－","",IF(E$20="15年以上","該当","")),"")</f>
        <v/>
      </c>
      <c r="I53" s="269"/>
      <c r="K53" s="85">
        <f t="shared" si="0"/>
        <v>0</v>
      </c>
      <c r="L53" s="135">
        <v>135000</v>
      </c>
      <c r="N53" s="106"/>
    </row>
    <row r="54" spans="1:17" s="161" customFormat="1" ht="13.5" customHeight="1" x14ac:dyDescent="0.15">
      <c r="A54" s="82"/>
      <c r="B54" s="256" t="s">
        <v>67</v>
      </c>
      <c r="C54" s="257"/>
      <c r="D54" s="258"/>
      <c r="E54" s="45" t="s">
        <v>210</v>
      </c>
      <c r="F54" s="188" t="s">
        <v>214</v>
      </c>
      <c r="G54" s="189"/>
      <c r="H54" s="72" t="str">
        <f>IF($E$19="業務用産業用",IF($O$18=1,"該当",""),"")</f>
        <v/>
      </c>
      <c r="I54" s="177"/>
      <c r="K54" s="85">
        <f t="shared" si="0"/>
        <v>0</v>
      </c>
      <c r="L54" s="135">
        <v>220000</v>
      </c>
      <c r="N54" s="170"/>
      <c r="O54" s="170"/>
      <c r="P54" s="105"/>
      <c r="Q54" s="105"/>
    </row>
    <row r="55" spans="1:17" s="161" customFormat="1" ht="13.5" customHeight="1" x14ac:dyDescent="0.15">
      <c r="A55" s="82"/>
      <c r="B55" s="263"/>
      <c r="C55" s="264"/>
      <c r="D55" s="265"/>
      <c r="E55" s="45" t="s">
        <v>211</v>
      </c>
      <c r="F55" s="188" t="s">
        <v>205</v>
      </c>
      <c r="G55" s="189"/>
      <c r="H55" s="72" t="str">
        <f>IF($E$19="業務用産業用",IF($O$18=2,"該当",""),"")</f>
        <v/>
      </c>
      <c r="I55" s="177"/>
      <c r="K55" s="85">
        <f t="shared" si="0"/>
        <v>0</v>
      </c>
      <c r="L55" s="135">
        <v>190000</v>
      </c>
      <c r="N55" s="170"/>
      <c r="O55" s="170"/>
      <c r="P55" s="105"/>
      <c r="Q55" s="105"/>
    </row>
    <row r="56" spans="1:17" s="161" customFormat="1" ht="13.5" customHeight="1" x14ac:dyDescent="0.15">
      <c r="A56" s="82"/>
      <c r="B56" s="263"/>
      <c r="C56" s="264"/>
      <c r="D56" s="265"/>
      <c r="E56" s="45" t="s">
        <v>212</v>
      </c>
      <c r="F56" s="188" t="s">
        <v>214</v>
      </c>
      <c r="G56" s="189"/>
      <c r="H56" s="72" t="str">
        <f>IF($E$19="業務用産業用",IF($O$18=3,"該当",""),"")</f>
        <v/>
      </c>
      <c r="I56" s="177"/>
      <c r="K56" s="85">
        <f t="shared" si="0"/>
        <v>0</v>
      </c>
      <c r="L56" s="135">
        <v>220000</v>
      </c>
      <c r="N56" s="170"/>
      <c r="O56" s="170"/>
      <c r="P56" s="105"/>
      <c r="Q56" s="105"/>
    </row>
    <row r="57" spans="1:17" s="161" customFormat="1" ht="13.5" customHeight="1" x14ac:dyDescent="0.15">
      <c r="A57" s="82"/>
      <c r="B57" s="266"/>
      <c r="C57" s="267"/>
      <c r="D57" s="268"/>
      <c r="E57" s="45" t="s">
        <v>213</v>
      </c>
      <c r="F57" s="188" t="s">
        <v>214</v>
      </c>
      <c r="G57" s="189"/>
      <c r="H57" s="72" t="str">
        <f>IF($E$19="業務用産業用",IF($O$18=4,"該当",""),"")</f>
        <v/>
      </c>
      <c r="I57" s="177"/>
      <c r="K57" s="85">
        <f t="shared" si="0"/>
        <v>0</v>
      </c>
      <c r="L57" s="135">
        <v>220000</v>
      </c>
      <c r="N57" s="170"/>
      <c r="O57" s="170"/>
      <c r="P57" s="105"/>
      <c r="Q57" s="105"/>
    </row>
    <row r="58" spans="1:17" ht="33" customHeight="1" x14ac:dyDescent="0.15">
      <c r="A58" s="82"/>
      <c r="B58" s="183" t="s">
        <v>172</v>
      </c>
      <c r="C58" s="184"/>
      <c r="D58" s="184"/>
      <c r="E58" s="183" t="s">
        <v>171</v>
      </c>
      <c r="F58" s="186"/>
      <c r="G58" s="187"/>
      <c r="H58" s="78" t="str">
        <f>IF(F36=0,"",IF(E19="","",IF(E19="家庭用",IF(F36&lt;=L58,"○","×"),IF(F37&lt;=L58,"○","×"))))</f>
        <v/>
      </c>
      <c r="I58" s="43"/>
      <c r="K58" s="134">
        <f>IF(H58="○",1,0)</f>
        <v>0</v>
      </c>
      <c r="L58" s="135">
        <f>SUM(K48*L48+K49*L49+K50*L50+K51*L51+K52*L52+K53*L53+K54*L54+K55*L55+K56*L56+K57*L57)</f>
        <v>0</v>
      </c>
      <c r="N58" s="106"/>
    </row>
    <row r="59" spans="1:17" ht="9" customHeight="1" x14ac:dyDescent="0.15">
      <c r="A59" s="83"/>
      <c r="B59" s="148"/>
      <c r="C59" s="113"/>
      <c r="D59" s="154"/>
      <c r="E59" s="148"/>
      <c r="F59" s="149"/>
      <c r="G59" s="149"/>
      <c r="H59" s="80"/>
      <c r="I59" s="43"/>
      <c r="K59" s="136"/>
      <c r="L59" s="141"/>
    </row>
    <row r="60" spans="1:17" ht="42" customHeight="1" x14ac:dyDescent="0.15">
      <c r="A60" s="183" t="s">
        <v>140</v>
      </c>
      <c r="B60" s="192"/>
      <c r="C60" s="186"/>
      <c r="D60" s="185"/>
      <c r="E60" s="183" t="s">
        <v>170</v>
      </c>
      <c r="F60" s="186"/>
      <c r="G60" s="186"/>
      <c r="H60" s="193"/>
      <c r="I60" s="43" t="s">
        <v>1</v>
      </c>
      <c r="K60" s="136"/>
      <c r="L60" s="136"/>
    </row>
    <row r="61" spans="1:17" ht="6.75" customHeight="1" x14ac:dyDescent="0.15">
      <c r="A61" s="101"/>
      <c r="B61" s="69"/>
      <c r="C61" s="70"/>
      <c r="D61" s="115"/>
      <c r="E61" s="69"/>
      <c r="F61" s="70"/>
      <c r="G61" s="70"/>
      <c r="H61" s="116"/>
      <c r="I61" s="43"/>
      <c r="K61" s="136"/>
      <c r="L61" s="136"/>
    </row>
    <row r="62" spans="1:17" ht="17.25" customHeight="1" x14ac:dyDescent="0.15">
      <c r="A62" s="82"/>
      <c r="B62" s="194" t="s">
        <v>3</v>
      </c>
      <c r="C62" s="195"/>
      <c r="D62" s="196"/>
      <c r="E62" s="197" t="s">
        <v>66</v>
      </c>
      <c r="F62" s="197"/>
      <c r="G62" s="197"/>
      <c r="H62" s="89" t="s">
        <v>151</v>
      </c>
      <c r="I62" s="43" t="s">
        <v>1</v>
      </c>
      <c r="K62" s="136"/>
      <c r="L62" s="136"/>
    </row>
    <row r="63" spans="1:17" ht="75" customHeight="1" x14ac:dyDescent="0.15">
      <c r="A63" s="82"/>
      <c r="B63" s="183" t="s">
        <v>65</v>
      </c>
      <c r="C63" s="184"/>
      <c r="D63" s="185"/>
      <c r="E63" s="190" t="s">
        <v>169</v>
      </c>
      <c r="F63" s="190"/>
      <c r="G63" s="190"/>
      <c r="H63" s="77"/>
      <c r="I63" s="44"/>
      <c r="K63" s="85">
        <f t="shared" ref="K63:K70" si="1">IF(H63="○",1,0)</f>
        <v>0</v>
      </c>
      <c r="L63" s="136"/>
    </row>
    <row r="64" spans="1:17" s="161" customFormat="1" ht="49.5" customHeight="1" x14ac:dyDescent="0.15">
      <c r="A64" s="82"/>
      <c r="B64" s="183" t="s">
        <v>215</v>
      </c>
      <c r="C64" s="184"/>
      <c r="D64" s="185"/>
      <c r="E64" s="190" t="s">
        <v>216</v>
      </c>
      <c r="F64" s="190"/>
      <c r="G64" s="190"/>
      <c r="H64" s="77"/>
      <c r="I64" s="44"/>
      <c r="K64" s="85">
        <f t="shared" si="1"/>
        <v>0</v>
      </c>
      <c r="L64" s="136"/>
      <c r="N64" s="170"/>
      <c r="O64" s="170"/>
      <c r="P64" s="105"/>
      <c r="Q64" s="105"/>
    </row>
    <row r="65" spans="1:19" s="161" customFormat="1" ht="54.75" customHeight="1" x14ac:dyDescent="0.15">
      <c r="A65" s="82"/>
      <c r="B65" s="183" t="s">
        <v>217</v>
      </c>
      <c r="C65" s="184"/>
      <c r="D65" s="185"/>
      <c r="E65" s="190" t="s">
        <v>218</v>
      </c>
      <c r="F65" s="190"/>
      <c r="G65" s="190"/>
      <c r="H65" s="77"/>
      <c r="I65" s="44"/>
      <c r="K65" s="85">
        <f t="shared" si="1"/>
        <v>0</v>
      </c>
      <c r="L65" s="136"/>
      <c r="N65" s="170"/>
      <c r="O65" s="170"/>
      <c r="P65" s="105"/>
      <c r="Q65" s="105"/>
    </row>
    <row r="66" spans="1:19" ht="36" customHeight="1" x14ac:dyDescent="0.15">
      <c r="A66" s="82"/>
      <c r="B66" s="183" t="s">
        <v>228</v>
      </c>
      <c r="C66" s="184"/>
      <c r="D66" s="185"/>
      <c r="E66" s="190" t="s">
        <v>63</v>
      </c>
      <c r="F66" s="190"/>
      <c r="G66" s="190"/>
      <c r="H66" s="77"/>
      <c r="I66" s="43"/>
      <c r="K66" s="85">
        <f t="shared" si="1"/>
        <v>0</v>
      </c>
      <c r="L66" s="136"/>
    </row>
    <row r="67" spans="1:19" ht="115.5" customHeight="1" x14ac:dyDescent="0.15">
      <c r="A67" s="82"/>
      <c r="B67" s="183" t="s">
        <v>229</v>
      </c>
      <c r="C67" s="184"/>
      <c r="D67" s="185"/>
      <c r="E67" s="190" t="s">
        <v>62</v>
      </c>
      <c r="F67" s="190"/>
      <c r="G67" s="190"/>
      <c r="H67" s="77"/>
      <c r="I67" s="43"/>
      <c r="K67" s="85">
        <f t="shared" si="1"/>
        <v>0</v>
      </c>
      <c r="L67" s="136"/>
    </row>
    <row r="68" spans="1:19" ht="105" customHeight="1" x14ac:dyDescent="0.15">
      <c r="A68" s="82"/>
      <c r="B68" s="183" t="s">
        <v>230</v>
      </c>
      <c r="C68" s="184"/>
      <c r="D68" s="185"/>
      <c r="E68" s="190" t="s">
        <v>61</v>
      </c>
      <c r="F68" s="190"/>
      <c r="G68" s="190"/>
      <c r="H68" s="77"/>
      <c r="I68" s="43"/>
      <c r="K68" s="85">
        <f t="shared" si="1"/>
        <v>0</v>
      </c>
      <c r="L68" s="136"/>
    </row>
    <row r="69" spans="1:19" ht="60.75" customHeight="1" x14ac:dyDescent="0.15">
      <c r="A69" s="82"/>
      <c r="B69" s="183" t="s">
        <v>231</v>
      </c>
      <c r="C69" s="184"/>
      <c r="D69" s="185"/>
      <c r="E69" s="191" t="s">
        <v>60</v>
      </c>
      <c r="F69" s="191"/>
      <c r="G69" s="191"/>
      <c r="H69" s="77"/>
      <c r="I69" s="43"/>
      <c r="K69" s="85">
        <f t="shared" si="1"/>
        <v>0</v>
      </c>
      <c r="L69" s="136"/>
    </row>
    <row r="70" spans="1:19" ht="71.25" customHeight="1" x14ac:dyDescent="0.15">
      <c r="A70" s="82"/>
      <c r="B70" s="183" t="s">
        <v>232</v>
      </c>
      <c r="C70" s="184"/>
      <c r="D70" s="185"/>
      <c r="E70" s="183" t="s">
        <v>168</v>
      </c>
      <c r="F70" s="186"/>
      <c r="G70" s="187"/>
      <c r="H70" s="77"/>
      <c r="I70" s="42"/>
      <c r="K70" s="85">
        <f t="shared" si="1"/>
        <v>0</v>
      </c>
      <c r="L70" s="136"/>
    </row>
    <row r="71" spans="1:19" ht="9" customHeight="1" x14ac:dyDescent="0.15">
      <c r="A71" s="83"/>
      <c r="B71" s="69"/>
      <c r="C71" s="115"/>
      <c r="D71" s="115"/>
      <c r="E71" s="69"/>
      <c r="F71" s="70"/>
      <c r="G71" s="70"/>
      <c r="H71" s="117"/>
      <c r="I71" s="84"/>
      <c r="K71" s="136"/>
      <c r="L71" s="136"/>
    </row>
    <row r="72" spans="1:19" x14ac:dyDescent="0.15">
      <c r="E72" s="4"/>
      <c r="F72" s="41"/>
      <c r="G72" s="40"/>
      <c r="H72" s="2"/>
      <c r="K72" s="136"/>
      <c r="L72" s="136"/>
    </row>
    <row r="73" spans="1:19" ht="18" customHeight="1" x14ac:dyDescent="0.15">
      <c r="A73" s="11" t="s">
        <v>58</v>
      </c>
      <c r="E73" s="39"/>
      <c r="G73" s="39"/>
      <c r="H73" s="38" t="s">
        <v>57</v>
      </c>
      <c r="K73" s="136"/>
      <c r="L73" s="136"/>
    </row>
    <row r="74" spans="1:19" ht="30" customHeight="1" x14ac:dyDescent="0.15">
      <c r="A74" s="203" t="s">
        <v>167</v>
      </c>
      <c r="B74" s="204"/>
      <c r="C74" s="186"/>
      <c r="D74" s="184"/>
      <c r="E74" s="205" t="s">
        <v>55</v>
      </c>
      <c r="F74" s="209"/>
      <c r="G74" s="201"/>
      <c r="H74" s="210" t="str">
        <f>IF(F36=0,"",IF($E$19="家庭用",IF(K75=12,"合格
（4項へ進む）","不合格
（算定チェック終了）"),IF($E$19="業務用産業用",IF(L75=4,"合格
（4項へ進む）","不合格
（算定チェック終了）"))))</f>
        <v/>
      </c>
      <c r="K74" s="30" t="s">
        <v>136</v>
      </c>
      <c r="L74" s="30" t="s">
        <v>137</v>
      </c>
    </row>
    <row r="75" spans="1:19" ht="30" customHeight="1" x14ac:dyDescent="0.15">
      <c r="A75" s="203" t="s">
        <v>166</v>
      </c>
      <c r="B75" s="204"/>
      <c r="C75" s="186"/>
      <c r="D75" s="184"/>
      <c r="E75" s="205" t="s">
        <v>53</v>
      </c>
      <c r="F75" s="206"/>
      <c r="G75" s="202"/>
      <c r="H75" s="211"/>
      <c r="K75" s="85">
        <f>SUM(K43:K45,K58,K63:K70)</f>
        <v>0</v>
      </c>
      <c r="L75" s="85">
        <f>SUM(K43:K45,K58)</f>
        <v>0</v>
      </c>
    </row>
    <row r="76" spans="1:19" x14ac:dyDescent="0.15">
      <c r="A76" s="147"/>
      <c r="B76" s="147"/>
      <c r="C76" s="147"/>
      <c r="D76" s="147"/>
      <c r="E76" s="37"/>
      <c r="F76" s="37"/>
      <c r="K76" s="136"/>
      <c r="L76" s="136"/>
    </row>
    <row r="77" spans="1:19" x14ac:dyDescent="0.15">
      <c r="A77" s="207" t="s">
        <v>52</v>
      </c>
      <c r="B77" s="207"/>
      <c r="C77" s="207"/>
      <c r="D77" s="207"/>
      <c r="E77" s="208"/>
      <c r="F77" s="208"/>
      <c r="K77" s="136"/>
      <c r="L77" s="136"/>
    </row>
    <row r="78" spans="1:19" ht="38.25" customHeight="1" x14ac:dyDescent="0.15">
      <c r="A78" s="207" t="s">
        <v>51</v>
      </c>
      <c r="B78" s="207"/>
      <c r="C78" s="207"/>
      <c r="D78" s="207"/>
      <c r="E78" s="208"/>
      <c r="F78" s="208"/>
      <c r="G78" s="208"/>
      <c r="H78" s="208"/>
      <c r="K78" s="136"/>
      <c r="L78" s="136"/>
      <c r="S78" s="104"/>
    </row>
    <row r="79" spans="1:19" s="161" customFormat="1" ht="13.5" customHeight="1" thickBot="1" x14ac:dyDescent="0.2">
      <c r="A79" s="167"/>
      <c r="B79" s="167"/>
      <c r="C79" s="167"/>
      <c r="D79" s="167"/>
      <c r="E79" s="166"/>
      <c r="F79" s="166"/>
      <c r="G79" s="166"/>
      <c r="H79" s="166"/>
      <c r="I79" s="163"/>
      <c r="K79" s="136"/>
      <c r="L79" s="136"/>
      <c r="N79" s="105"/>
      <c r="O79" s="105"/>
      <c r="P79" s="105"/>
      <c r="Q79" s="105"/>
      <c r="S79" s="104"/>
    </row>
    <row r="80" spans="1:19" s="161" customFormat="1" ht="13.5" customHeight="1" thickBot="1" x14ac:dyDescent="0.2">
      <c r="A80" s="167"/>
      <c r="B80" s="162" t="s">
        <v>198</v>
      </c>
      <c r="C80" s="164"/>
      <c r="D80" s="164"/>
      <c r="E80" s="165"/>
      <c r="F80" s="178">
        <v>0.08</v>
      </c>
      <c r="G80" s="169"/>
      <c r="H80" s="169"/>
      <c r="I80" s="163"/>
      <c r="K80" s="136"/>
      <c r="L80" s="136">
        <f>IF(F80="対象外",0,F80)</f>
        <v>0.08</v>
      </c>
      <c r="N80" s="105"/>
      <c r="O80" s="105"/>
      <c r="P80" s="105"/>
      <c r="Q80" s="105"/>
      <c r="S80" s="104"/>
    </row>
    <row r="81" spans="1:19" s="161" customFormat="1" ht="45.75" customHeight="1" x14ac:dyDescent="0.15">
      <c r="A81" s="167"/>
      <c r="B81" s="212" t="s">
        <v>207</v>
      </c>
      <c r="C81" s="213"/>
      <c r="D81" s="213"/>
      <c r="E81" s="213"/>
      <c r="F81" s="213"/>
      <c r="G81" s="166"/>
      <c r="H81" s="166"/>
      <c r="I81" s="163"/>
      <c r="K81" s="136"/>
      <c r="L81" s="136"/>
      <c r="N81" s="105"/>
      <c r="O81" s="105"/>
      <c r="P81" s="105"/>
      <c r="Q81" s="105"/>
      <c r="S81" s="104"/>
    </row>
    <row r="82" spans="1:19" s="161" customFormat="1" ht="13.5" customHeight="1" x14ac:dyDescent="0.15">
      <c r="A82" s="167"/>
      <c r="B82" s="167"/>
      <c r="C82" s="167"/>
      <c r="D82" s="167"/>
      <c r="E82" s="166"/>
      <c r="F82" s="166"/>
      <c r="G82" s="166"/>
      <c r="H82" s="166"/>
      <c r="I82" s="163"/>
      <c r="K82" s="136"/>
      <c r="L82" s="136"/>
      <c r="N82" s="105"/>
      <c r="O82" s="105"/>
      <c r="P82" s="105"/>
      <c r="Q82" s="105"/>
      <c r="S82" s="104"/>
    </row>
    <row r="83" spans="1:19" x14ac:dyDescent="0.15">
      <c r="A83" s="153" t="s">
        <v>165</v>
      </c>
      <c r="B83" s="153"/>
      <c r="C83" s="153"/>
      <c r="D83" s="153"/>
      <c r="E83" s="157"/>
      <c r="F83" s="14"/>
      <c r="G83" s="156"/>
      <c r="H83" s="155"/>
      <c r="K83" s="136"/>
      <c r="L83" s="136"/>
      <c r="S83" s="104"/>
    </row>
    <row r="84" spans="1:19" ht="23.1" customHeight="1" x14ac:dyDescent="0.15">
      <c r="A84" s="24" t="s">
        <v>164</v>
      </c>
      <c r="B84" s="24"/>
      <c r="C84" s="24"/>
      <c r="D84" s="24"/>
      <c r="E84" s="23"/>
      <c r="F84" s="34">
        <f>IF(COUNTIF($H$74,"合格*"),ROUNDDOWN((F$34+F$35)*IF(H$9=1,(1+$L$80),1),0),0)</f>
        <v>0</v>
      </c>
      <c r="G84" s="119" t="s">
        <v>163</v>
      </c>
      <c r="H84" s="119" t="str">
        <f>IF(F84=0,"",IF(H$9=1,"《税込み》","《税抜き》"))</f>
        <v/>
      </c>
      <c r="I84" s="22" t="s">
        <v>162</v>
      </c>
      <c r="K84" s="136"/>
      <c r="L84" s="136"/>
    </row>
    <row r="85" spans="1:19" ht="22.5" customHeight="1" x14ac:dyDescent="0.15">
      <c r="A85" s="24" t="s">
        <v>161</v>
      </c>
      <c r="B85" s="24"/>
      <c r="C85" s="24"/>
      <c r="D85" s="24"/>
      <c r="E85" s="23"/>
      <c r="F85" s="34">
        <f>IF(COUNTIF($H$74,"合格*"),ROUNDDOWN((F$34+F$35)/2*IF(H$9=1,(1+$L$80),1),0),0)</f>
        <v>0</v>
      </c>
      <c r="G85" s="119" t="s">
        <v>160</v>
      </c>
      <c r="H85" s="119" t="str">
        <f>IF(F85=0,"",IF(H$9=1,"《税込み》","《税抜き》"))</f>
        <v/>
      </c>
      <c r="I85" s="22" t="s">
        <v>159</v>
      </c>
      <c r="K85" s="136"/>
      <c r="L85" s="136"/>
    </row>
    <row r="86" spans="1:19" x14ac:dyDescent="0.15">
      <c r="A86" s="24" t="s">
        <v>158</v>
      </c>
      <c r="B86" s="24"/>
      <c r="C86" s="24"/>
      <c r="D86" s="24"/>
      <c r="E86" s="23"/>
      <c r="F86" s="17"/>
      <c r="G86" s="96"/>
      <c r="H86" s="12"/>
      <c r="I86" s="22"/>
      <c r="K86" s="136"/>
      <c r="L86" s="136"/>
    </row>
    <row r="87" spans="1:19" ht="8.25" customHeight="1" x14ac:dyDescent="0.15">
      <c r="A87" s="24"/>
      <c r="B87" s="24"/>
      <c r="C87" s="24"/>
      <c r="D87" s="24"/>
      <c r="E87" s="23"/>
      <c r="F87" s="17"/>
      <c r="G87" s="96"/>
      <c r="H87" s="12"/>
      <c r="K87" s="136"/>
      <c r="L87" s="136"/>
    </row>
    <row r="88" spans="1:19" ht="17.25" x14ac:dyDescent="0.15">
      <c r="A88" s="32" t="s">
        <v>6</v>
      </c>
      <c r="B88" s="32"/>
      <c r="C88" s="31"/>
      <c r="D88" s="31"/>
      <c r="E88" s="31"/>
      <c r="K88" s="136"/>
      <c r="L88" s="136"/>
    </row>
    <row r="92" spans="1:19" x14ac:dyDescent="0.15">
      <c r="F92" s="17"/>
      <c r="G92" s="96"/>
      <c r="H92" s="12"/>
      <c r="I92" s="22"/>
    </row>
    <row r="93" spans="1:19" x14ac:dyDescent="0.15">
      <c r="A93" s="29"/>
      <c r="B93" s="29"/>
      <c r="C93" s="29"/>
      <c r="D93" s="29"/>
      <c r="E93" s="23"/>
      <c r="F93" s="14"/>
      <c r="G93" s="7"/>
      <c r="H93" s="12"/>
    </row>
    <row r="94" spans="1:19" x14ac:dyDescent="0.15">
      <c r="A94" s="28"/>
      <c r="B94" s="28"/>
      <c r="C94" s="28"/>
      <c r="D94" s="28"/>
      <c r="E94" s="23"/>
      <c r="F94" s="14"/>
      <c r="G94" s="7"/>
      <c r="H94" s="12"/>
    </row>
    <row r="95" spans="1:19" x14ac:dyDescent="0.15">
      <c r="A95" s="24"/>
      <c r="B95" s="24"/>
      <c r="C95" s="24"/>
      <c r="D95" s="24"/>
      <c r="E95" s="23"/>
      <c r="F95" s="27"/>
      <c r="G95" s="7"/>
      <c r="H95" s="12"/>
      <c r="I95" s="22"/>
    </row>
    <row r="96" spans="1:19" x14ac:dyDescent="0.15">
      <c r="A96" s="24"/>
      <c r="B96" s="24"/>
      <c r="C96" s="24"/>
      <c r="D96" s="24"/>
      <c r="E96" s="23"/>
      <c r="F96" s="17"/>
      <c r="G96" s="13"/>
      <c r="H96" s="12"/>
      <c r="I96" s="22"/>
    </row>
    <row r="97" spans="1:9" x14ac:dyDescent="0.15">
      <c r="A97" s="24"/>
      <c r="B97" s="24"/>
      <c r="C97" s="24"/>
      <c r="D97" s="24"/>
      <c r="E97" s="23"/>
      <c r="F97" s="17"/>
      <c r="G97" s="96"/>
      <c r="H97" s="12"/>
      <c r="I97" s="22"/>
    </row>
    <row r="98" spans="1:9" x14ac:dyDescent="0.15">
      <c r="A98" s="24"/>
      <c r="B98" s="24"/>
      <c r="C98" s="24"/>
      <c r="D98" s="24"/>
      <c r="E98" s="23"/>
      <c r="F98" s="17"/>
      <c r="G98" s="96"/>
      <c r="H98" s="12"/>
      <c r="I98" s="22"/>
    </row>
    <row r="99" spans="1:9" x14ac:dyDescent="0.15">
      <c r="A99" s="24"/>
      <c r="B99" s="24"/>
      <c r="C99" s="24"/>
      <c r="D99" s="24"/>
      <c r="E99" s="23"/>
      <c r="F99" s="17"/>
      <c r="G99" s="96"/>
      <c r="H99" s="12"/>
      <c r="I99" s="22"/>
    </row>
    <row r="100" spans="1:9" x14ac:dyDescent="0.15">
      <c r="A100" s="24"/>
      <c r="B100" s="24"/>
      <c r="C100" s="24"/>
      <c r="D100" s="24"/>
      <c r="E100" s="23"/>
      <c r="F100" s="17"/>
      <c r="G100" s="96"/>
      <c r="H100" s="12"/>
      <c r="I100" s="22"/>
    </row>
    <row r="101" spans="1:9" x14ac:dyDescent="0.15">
      <c r="A101" s="24"/>
      <c r="B101" s="24"/>
      <c r="C101" s="24"/>
      <c r="D101" s="24"/>
      <c r="E101" s="23"/>
      <c r="F101" s="17"/>
      <c r="G101" s="13"/>
      <c r="H101" s="12"/>
      <c r="I101" s="22"/>
    </row>
    <row r="102" spans="1:9" x14ac:dyDescent="0.15">
      <c r="A102" s="24"/>
      <c r="B102" s="24"/>
      <c r="C102" s="24"/>
      <c r="D102" s="24"/>
      <c r="E102" s="23"/>
      <c r="F102" s="17"/>
      <c r="G102" s="96"/>
      <c r="H102" s="12"/>
      <c r="I102" s="22"/>
    </row>
    <row r="103" spans="1:9" x14ac:dyDescent="0.15">
      <c r="A103" s="24"/>
      <c r="B103" s="24"/>
      <c r="C103" s="24"/>
      <c r="D103" s="24"/>
      <c r="E103" s="23"/>
      <c r="F103" s="17"/>
      <c r="G103" s="96"/>
      <c r="H103" s="12"/>
      <c r="I103" s="22"/>
    </row>
    <row r="104" spans="1:9" x14ac:dyDescent="0.15">
      <c r="A104" s="24"/>
      <c r="B104" s="24"/>
      <c r="C104" s="24"/>
      <c r="D104" s="24"/>
      <c r="E104" s="23"/>
      <c r="F104" s="17"/>
      <c r="G104" s="96"/>
      <c r="H104" s="12"/>
      <c r="I104" s="22"/>
    </row>
    <row r="105" spans="1:9" x14ac:dyDescent="0.15">
      <c r="A105" s="15"/>
      <c r="B105" s="15"/>
      <c r="C105" s="15"/>
      <c r="D105" s="15"/>
      <c r="F105" s="17"/>
      <c r="G105" s="13"/>
      <c r="H105" s="12"/>
    </row>
    <row r="106" spans="1:9" x14ac:dyDescent="0.15">
      <c r="A106" s="26"/>
      <c r="B106" s="26"/>
      <c r="C106" s="26"/>
      <c r="D106" s="26"/>
      <c r="E106" s="23"/>
      <c r="F106" s="25"/>
      <c r="G106" s="12"/>
      <c r="H106" s="2"/>
    </row>
    <row r="107" spans="1:9" x14ac:dyDescent="0.15">
      <c r="A107" s="21"/>
      <c r="B107" s="21"/>
      <c r="C107" s="21"/>
      <c r="D107" s="21"/>
      <c r="E107" s="20"/>
      <c r="F107" s="25"/>
      <c r="G107" s="12"/>
      <c r="H107" s="2"/>
    </row>
    <row r="108" spans="1:9" x14ac:dyDescent="0.15">
      <c r="A108" s="18"/>
      <c r="B108" s="18"/>
      <c r="C108" s="18"/>
      <c r="D108" s="18"/>
      <c r="F108" s="25"/>
      <c r="G108" s="12"/>
      <c r="H108" s="2"/>
    </row>
    <row r="109" spans="1:9" x14ac:dyDescent="0.15">
      <c r="A109" s="18"/>
      <c r="B109" s="18"/>
      <c r="C109" s="18"/>
      <c r="D109" s="18"/>
      <c r="F109" s="25"/>
      <c r="G109" s="12"/>
      <c r="H109" s="2"/>
    </row>
    <row r="110" spans="1:9" x14ac:dyDescent="0.15">
      <c r="A110" s="24"/>
      <c r="B110" s="24"/>
      <c r="C110" s="24"/>
      <c r="D110" s="24"/>
      <c r="E110" s="23"/>
      <c r="F110" s="17"/>
      <c r="G110" s="13"/>
      <c r="H110" s="12"/>
      <c r="I110" s="22"/>
    </row>
    <row r="111" spans="1:9" x14ac:dyDescent="0.15">
      <c r="A111" s="24"/>
      <c r="B111" s="24"/>
      <c r="C111" s="24"/>
      <c r="D111" s="24"/>
      <c r="E111" s="23"/>
      <c r="F111" s="17"/>
      <c r="G111" s="96"/>
      <c r="H111" s="12"/>
      <c r="I111" s="22"/>
    </row>
    <row r="112" spans="1:9" x14ac:dyDescent="0.15">
      <c r="A112" s="24"/>
      <c r="B112" s="24"/>
      <c r="C112" s="24"/>
      <c r="D112" s="24"/>
      <c r="E112" s="23"/>
      <c r="F112" s="17"/>
      <c r="G112" s="96"/>
      <c r="H112" s="12"/>
      <c r="I112" s="22"/>
    </row>
    <row r="113" spans="1:9" x14ac:dyDescent="0.15">
      <c r="A113" s="24"/>
      <c r="B113" s="24"/>
      <c r="C113" s="24"/>
      <c r="D113" s="24"/>
      <c r="E113" s="23"/>
      <c r="F113" s="17"/>
      <c r="G113" s="96"/>
      <c r="H113" s="12"/>
      <c r="I113" s="22"/>
    </row>
    <row r="114" spans="1:9" x14ac:dyDescent="0.15">
      <c r="A114" s="24"/>
      <c r="B114" s="24"/>
      <c r="C114" s="24"/>
      <c r="D114" s="24"/>
      <c r="E114" s="23"/>
      <c r="F114" s="17"/>
      <c r="G114" s="96"/>
      <c r="H114" s="12"/>
      <c r="I114" s="22"/>
    </row>
    <row r="115" spans="1:9" x14ac:dyDescent="0.15">
      <c r="A115" s="24"/>
      <c r="B115" s="24"/>
      <c r="C115" s="24"/>
      <c r="D115" s="24"/>
      <c r="E115" s="23"/>
      <c r="F115" s="17"/>
      <c r="G115" s="13"/>
      <c r="H115" s="12"/>
      <c r="I115" s="22"/>
    </row>
    <row r="116" spans="1:9" x14ac:dyDescent="0.15">
      <c r="A116" s="24"/>
      <c r="B116" s="24"/>
      <c r="C116" s="24"/>
      <c r="D116" s="24"/>
      <c r="E116" s="23"/>
      <c r="F116" s="17"/>
      <c r="G116" s="96"/>
      <c r="H116" s="12"/>
      <c r="I116" s="22"/>
    </row>
    <row r="117" spans="1:9" x14ac:dyDescent="0.15">
      <c r="A117" s="24"/>
      <c r="B117" s="24"/>
      <c r="C117" s="24"/>
      <c r="D117" s="24"/>
      <c r="E117" s="23"/>
      <c r="F117" s="17"/>
      <c r="G117" s="96"/>
      <c r="H117" s="12"/>
      <c r="I117" s="22"/>
    </row>
    <row r="118" spans="1:9" x14ac:dyDescent="0.15">
      <c r="A118" s="24"/>
      <c r="B118" s="24"/>
      <c r="C118" s="24"/>
      <c r="D118" s="24"/>
      <c r="E118" s="23"/>
      <c r="F118" s="17"/>
      <c r="G118" s="96"/>
      <c r="H118" s="12"/>
      <c r="I118" s="22"/>
    </row>
    <row r="119" spans="1:9" x14ac:dyDescent="0.15">
      <c r="A119" s="15"/>
      <c r="B119" s="15"/>
      <c r="C119" s="15"/>
      <c r="D119" s="15"/>
      <c r="F119" s="17"/>
      <c r="G119" s="13"/>
      <c r="H119" s="12"/>
    </row>
    <row r="120" spans="1:9" x14ac:dyDescent="0.15">
      <c r="A120" s="21"/>
      <c r="B120" s="21"/>
      <c r="C120" s="21"/>
      <c r="D120" s="21"/>
      <c r="E120" s="20"/>
      <c r="F120" s="19"/>
    </row>
    <row r="121" spans="1:9" x14ac:dyDescent="0.15">
      <c r="A121" s="18"/>
      <c r="B121" s="18"/>
      <c r="C121" s="18"/>
      <c r="D121" s="18"/>
      <c r="F121" s="14"/>
      <c r="G121" s="7"/>
      <c r="H121" s="6"/>
    </row>
    <row r="122" spans="1:9" x14ac:dyDescent="0.15">
      <c r="A122" s="15"/>
      <c r="B122" s="15"/>
      <c r="C122" s="15"/>
      <c r="D122" s="15"/>
      <c r="F122" s="17"/>
      <c r="G122" s="13"/>
      <c r="H122" s="12"/>
      <c r="I122" s="16"/>
    </row>
    <row r="123" spans="1:9" x14ac:dyDescent="0.15">
      <c r="A123" s="15"/>
      <c r="B123" s="15"/>
      <c r="C123" s="15"/>
      <c r="D123" s="15"/>
      <c r="F123" s="14"/>
      <c r="G123" s="13"/>
      <c r="H123" s="12"/>
    </row>
  </sheetData>
  <sheetProtection algorithmName="SHA-512" hashValue="awP2xcZShAhhDjgIoYGfRuEP3qk2qNYV0VpwaZyxC9lHYRCByfCQ3U2rk3Hxe40PBV+BVmuth4VUSX5equL6fg==" saltValue="By1Y2ip24LhcNHDYQwJFwQ==" spinCount="100000" sheet="1" objects="1" scenarios="1"/>
  <mergeCells count="67">
    <mergeCell ref="E75:F75"/>
    <mergeCell ref="D5:F5"/>
    <mergeCell ref="A77:F77"/>
    <mergeCell ref="B68:D68"/>
    <mergeCell ref="E68:G68"/>
    <mergeCell ref="B69:D69"/>
    <mergeCell ref="B58:D58"/>
    <mergeCell ref="E58:G58"/>
    <mergeCell ref="A60:D60"/>
    <mergeCell ref="E60:H60"/>
    <mergeCell ref="B62:D62"/>
    <mergeCell ref="E62:G62"/>
    <mergeCell ref="B48:D53"/>
    <mergeCell ref="B63:D63"/>
    <mergeCell ref="E63:G63"/>
    <mergeCell ref="B66:D66"/>
    <mergeCell ref="E66:G66"/>
    <mergeCell ref="I48:I53"/>
    <mergeCell ref="F49:G49"/>
    <mergeCell ref="F50:G50"/>
    <mergeCell ref="F51:G51"/>
    <mergeCell ref="F52:G52"/>
    <mergeCell ref="F53:G53"/>
    <mergeCell ref="F48:G48"/>
    <mergeCell ref="A37:D37"/>
    <mergeCell ref="A40:G40"/>
    <mergeCell ref="A42:G42"/>
    <mergeCell ref="A46:H46"/>
    <mergeCell ref="B47:D47"/>
    <mergeCell ref="F47:G47"/>
    <mergeCell ref="D4:F4"/>
    <mergeCell ref="H1:I1"/>
    <mergeCell ref="K1:L1"/>
    <mergeCell ref="A14:D14"/>
    <mergeCell ref="A36:D36"/>
    <mergeCell ref="A16:D16"/>
    <mergeCell ref="A17:D17"/>
    <mergeCell ref="A18:D18"/>
    <mergeCell ref="A19:D19"/>
    <mergeCell ref="A23:H23"/>
    <mergeCell ref="A24:D24"/>
    <mergeCell ref="A25:D31"/>
    <mergeCell ref="E26:H26"/>
    <mergeCell ref="A32:D33"/>
    <mergeCell ref="A20:D20"/>
    <mergeCell ref="A15:D15"/>
    <mergeCell ref="B54:D57"/>
    <mergeCell ref="F54:G54"/>
    <mergeCell ref="F55:G55"/>
    <mergeCell ref="F56:G56"/>
    <mergeCell ref="F57:G57"/>
    <mergeCell ref="B64:D64"/>
    <mergeCell ref="E64:G64"/>
    <mergeCell ref="B65:D65"/>
    <mergeCell ref="E65:G65"/>
    <mergeCell ref="B81:F81"/>
    <mergeCell ref="A78:H78"/>
    <mergeCell ref="A74:D74"/>
    <mergeCell ref="E74:F74"/>
    <mergeCell ref="H74:H75"/>
    <mergeCell ref="B67:D67"/>
    <mergeCell ref="E67:G67"/>
    <mergeCell ref="G74:G75"/>
    <mergeCell ref="A75:D75"/>
    <mergeCell ref="E69:G69"/>
    <mergeCell ref="B70:D70"/>
    <mergeCell ref="E70:G70"/>
  </mergeCells>
  <phoneticPr fontId="28"/>
  <conditionalFormatting sqref="E20">
    <cfRule type="expression" dxfId="10" priority="12">
      <formula>$E$19="業務用産業用"</formula>
    </cfRule>
  </conditionalFormatting>
  <conditionalFormatting sqref="F20 E21:H21">
    <cfRule type="expression" dxfId="9" priority="11">
      <formula>$K$20="ERROR"</formula>
    </cfRule>
  </conditionalFormatting>
  <conditionalFormatting sqref="H63">
    <cfRule type="expression" dxfId="8" priority="10">
      <formula>$E$19="業務用産業用"</formula>
    </cfRule>
  </conditionalFormatting>
  <conditionalFormatting sqref="H66">
    <cfRule type="expression" dxfId="7" priority="9">
      <formula>$E$19="業務用産業用"</formula>
    </cfRule>
  </conditionalFormatting>
  <conditionalFormatting sqref="H67">
    <cfRule type="expression" dxfId="6" priority="8">
      <formula>$E$19="業務用産業用"</formula>
    </cfRule>
  </conditionalFormatting>
  <conditionalFormatting sqref="H68">
    <cfRule type="expression" dxfId="5" priority="7">
      <formula>$E$19="業務用産業用"</formula>
    </cfRule>
  </conditionalFormatting>
  <conditionalFormatting sqref="H69">
    <cfRule type="expression" dxfId="4" priority="6">
      <formula>$E$19="業務用産業用"</formula>
    </cfRule>
  </conditionalFormatting>
  <conditionalFormatting sqref="H70:H71">
    <cfRule type="expression" dxfId="3" priority="5">
      <formula>$E$19="業務用産業用"</formula>
    </cfRule>
  </conditionalFormatting>
  <conditionalFormatting sqref="F80">
    <cfRule type="expression" dxfId="2" priority="2" stopIfTrue="1">
      <formula>$H$9=1</formula>
    </cfRule>
    <cfRule type="expression" dxfId="1" priority="3" stopIfTrue="1">
      <formula>$H$9&lt;&gt;1</formula>
    </cfRule>
  </conditionalFormatting>
  <conditionalFormatting sqref="H64:H65">
    <cfRule type="expression" dxfId="0" priority="1">
      <formula>$E$19="業務用産業用"</formula>
    </cfRule>
  </conditionalFormatting>
  <dataValidations count="9">
    <dataValidation type="decimal" imeMode="off" operator="greaterThanOrEqual" allowBlank="1" showInputMessage="1" showErrorMessage="1" sqref="E15:E17">
      <formula1>0</formula1>
    </dataValidation>
    <dataValidation imeMode="on" allowBlank="1" showInputMessage="1" showErrorMessage="1" sqref="D4:F5"/>
    <dataValidation type="list" imeMode="off" allowBlank="1" showInputMessage="1" showErrorMessage="1" errorTitle="入力はプルダウンに従ってください。" error="第１号事業の場合は、地方公共団体「１」または非営利法人「２」、第６号事業の場合は民間企業等「３」が申請者となります。" sqref="H9">
      <formula1>"1,2,3"</formula1>
    </dataValidation>
    <dataValidation type="list" errorStyle="warning" imeMode="off" operator="greaterThanOrEqual" allowBlank="1" showInputMessage="1" showErrorMessage="1" errorTitle="保証年数を確認ください。" error="「家庭用蓄電池」の場合、保証年数は１０年以上が補助対象となります。" sqref="E20">
      <formula1>"－,10年,11年,12年,13年,14年,15年以上"</formula1>
    </dataValidation>
    <dataValidation imeMode="off" allowBlank="1" showInputMessage="1" showErrorMessage="1" sqref="G25 G27:G33"/>
    <dataValidation type="decimal" imeMode="off" operator="greaterThanOrEqual" allowBlank="1" showInputMessage="1" showErrorMessage="1" errorTitle="蓄電容量を確認ください。" error="初期実効容量が1.0kWh未満の蓄電システムは対象外となります。" sqref="E14">
      <formula1>1</formula1>
    </dataValidation>
    <dataValidation type="list" allowBlank="1" showInputMessage="1" showErrorMessage="1" sqref="H43:H45">
      <formula1>"○,×"</formula1>
    </dataValidation>
    <dataValidation type="list" allowBlank="1" showInputMessage="1" showErrorMessage="1" sqref="H63:H70">
      <formula1>"－,○,×"</formula1>
    </dataValidation>
    <dataValidation type="list" allowBlank="1" showInputMessage="1" showErrorMessage="1" promptTitle="消費税率プルダウンリスト" prompt="プルダウンリストから選択してください" sqref="F80">
      <formula1>"8%,10％"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rowBreaks count="1" manualBreakCount="1">
    <brk id="7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別紙９（第１号、第６号用）</vt:lpstr>
      <vt:lpstr>別紙９（第８号用）</vt:lpstr>
      <vt:lpstr>'別紙９（第１号、第６号用）'!Print_Area</vt:lpstr>
      <vt:lpstr>'別紙９（第８号用）'!Print_Area</vt:lpstr>
      <vt:lpstr>'別紙９（第１号、第６号用）'!第1号</vt:lpstr>
      <vt:lpstr>'別紙９（第１号、第６号用）'!第6号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2017-05-02T07:09:05Z</dcterms:created>
  <dcterms:modified xsi:type="dcterms:W3CDTF">2019-05-08T05:17:34Z</dcterms:modified>
</cp:coreProperties>
</file>