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0" yWindow="0" windowWidth="20490" windowHeight="7440"/>
  </bookViews>
  <sheets>
    <sheet name="別紙９改訂20170521" sheetId="8" r:id="rId1"/>
  </sheets>
  <definedNames>
    <definedName name="_xlnm.Print_Area" localSheetId="0">別紙９改訂20170521!$A$1:$I$125</definedName>
    <definedName name="第1号" localSheetId="0">別紙９改訂20170521!$L$10:$L$11</definedName>
    <definedName name="第1号">#REF!</definedName>
    <definedName name="第6号" localSheetId="0">別紙９改訂20170521!$L$13</definedName>
    <definedName name="第6号">#REF!</definedName>
  </definedNames>
  <calcPr calcId="152511"/>
</workbook>
</file>

<file path=xl/calcChain.xml><?xml version="1.0" encoding="utf-8"?>
<calcChain xmlns="http://schemas.openxmlformats.org/spreadsheetml/2006/main">
  <c r="K65" i="8" l="1"/>
  <c r="K64" i="8"/>
  <c r="K63" i="8"/>
  <c r="K62" i="8"/>
  <c r="K61" i="8"/>
  <c r="K60" i="8"/>
  <c r="K45" i="8"/>
  <c r="K44" i="8"/>
  <c r="K43" i="8"/>
  <c r="H33" i="8"/>
  <c r="H32" i="8"/>
  <c r="H31" i="8"/>
  <c r="H30" i="8"/>
  <c r="H29" i="8"/>
  <c r="H28" i="8"/>
  <c r="H27" i="8"/>
  <c r="H25" i="8"/>
  <c r="E18" i="8"/>
  <c r="E19" i="8" s="1"/>
  <c r="K9" i="8"/>
  <c r="H54" i="8" l="1"/>
  <c r="K54" i="8" s="1"/>
  <c r="H53" i="8"/>
  <c r="K53" i="8" s="1"/>
  <c r="H51" i="8"/>
  <c r="K51" i="8" s="1"/>
  <c r="H49" i="8"/>
  <c r="K49" i="8" s="1"/>
  <c r="H52" i="8"/>
  <c r="H50" i="8"/>
  <c r="K50" i="8" s="1"/>
  <c r="H48" i="8"/>
  <c r="K48" i="8" s="1"/>
  <c r="F35" i="8"/>
  <c r="F34" i="8"/>
  <c r="K19" i="8"/>
  <c r="K20" i="8"/>
  <c r="F37" i="8"/>
  <c r="K52" i="8"/>
  <c r="F36" i="8" l="1"/>
  <c r="L55" i="8"/>
  <c r="H55" i="8" l="1"/>
  <c r="K55" i="8" s="1"/>
  <c r="L70" i="8" s="1"/>
  <c r="F122" i="8" l="1"/>
  <c r="F106" i="8"/>
  <c r="F121" i="8"/>
  <c r="F105" i="8"/>
  <c r="F110" i="8" s="1"/>
  <c r="K70" i="8"/>
  <c r="H69" i="8" s="1"/>
  <c r="F114" i="8" l="1"/>
  <c r="F115" i="8"/>
  <c r="F109" i="8"/>
  <c r="F92" i="8"/>
  <c r="F78" i="8"/>
  <c r="F91" i="8"/>
  <c r="F95" i="8" s="1"/>
  <c r="F77" i="8"/>
  <c r="F87" i="8" s="1"/>
  <c r="F82" i="8" l="1"/>
  <c r="F81" i="8"/>
  <c r="F99" i="8"/>
  <c r="F100" i="8"/>
  <c r="F86" i="8"/>
  <c r="F94" i="8"/>
</calcChain>
</file>

<file path=xl/sharedStrings.xml><?xml version="1.0" encoding="utf-8"?>
<sst xmlns="http://schemas.openxmlformats.org/spreadsheetml/2006/main" count="221" uniqueCount="181">
  <si>
    <t>①</t>
  </si>
  <si>
    <t>　</t>
  </si>
  <si>
    <t>費用区分</t>
  </si>
  <si>
    <t>項目</t>
  </si>
  <si>
    <t>工事費</t>
  </si>
  <si>
    <t>④</t>
    <phoneticPr fontId="1"/>
  </si>
  <si>
    <t>注：個々の工事費目によっては、補助対象外経費が含まれる場合がある。</t>
  </si>
  <si>
    <t>　　　　　　　㉓、㉔を別紙４経費内訳に転記する。</t>
  </si>
  <si>
    <t>㉔</t>
  </si>
  <si>
    <t>補助金所要額
（定額補助対象分）</t>
  </si>
  <si>
    <t>　　　　　　　 経費内訳の所要経費（8-1）への計上額</t>
  </si>
  <si>
    <t>㉓</t>
  </si>
  <si>
    <t>補助対象経費支出予定額
（定額補助対象分）</t>
  </si>
  <si>
    <t>　　　　　　　 経費内訳の所要経費（4-1）への計上額</t>
  </si>
  <si>
    <t>　定率補助金扱いとする。</t>
  </si>
  <si>
    <t>　⑧の(工事費+据付費)÷2</t>
  </si>
  <si>
    <t>（２）工事費・据え付け費の補助率、上限、補助額の算定</t>
  </si>
  <si>
    <t>　　　　　　　㉑、㉒を別紙４経費内訳に転記する。</t>
  </si>
  <si>
    <t>㉒</t>
  </si>
  <si>
    <t>補助金所要額
（定率補助対象分）</t>
  </si>
  <si>
    <t>㉑</t>
  </si>
  <si>
    <t>補助対象経費支出予定額
（定率補助対象分）</t>
  </si>
  <si>
    <t>　Ａ≦Ｂの場合：定率補助金とみなす。</t>
    <phoneticPr fontId="1"/>
  </si>
  <si>
    <t>　　　　　　　⑲、⑳を別紙４経費内訳に転記する。</t>
  </si>
  <si>
    <t>⑳</t>
  </si>
  <si>
    <t>　　　　　　　 経費内訳の所要経費（8-2）への計上額</t>
  </si>
  <si>
    <t>⑲</t>
  </si>
  <si>
    <t>　　　　　　　 経費内訳の所要経費（4-2）への計上額</t>
  </si>
  <si>
    <t>　Ａ＞Ｂの場合：定額補助金扱いとみなす。</t>
    <phoneticPr fontId="1"/>
  </si>
  <si>
    <t>　定額補助金・定率補助金額の算定</t>
  </si>
  <si>
    <t>円　Ｂ（消費税抜きベース）</t>
  </si>
  <si>
    <t>円　Ａ（消費税抜きベース）</t>
  </si>
  <si>
    <t>　⑦の蓄電システム費÷3</t>
  </si>
  <si>
    <t>(１)蓄電システム費の補助率、上限、補助額の算定</t>
  </si>
  <si>
    <t>４－２．上記判定で「業務用産業用蓄電池」の場合</t>
  </si>
  <si>
    <t>　　　　　　　⑰、⑱を別紙４経費内訳に転記する。</t>
  </si>
  <si>
    <t>⑱</t>
  </si>
  <si>
    <t>⑰</t>
  </si>
  <si>
    <t>　　　　　　　</t>
  </si>
  <si>
    <t>　　　　　　　⑮、⑯を別紙４経費内訳に転記する。</t>
  </si>
  <si>
    <t>⑯</t>
  </si>
  <si>
    <t>⑮</t>
  </si>
  <si>
    <t>　Ｂ（消費税抜きベース）</t>
  </si>
  <si>
    <t>　5万円</t>
  </si>
  <si>
    <t>　Ａ（消費税抜きベース）</t>
  </si>
  <si>
    <t>　　　　　　　⑬、⑭を別紙４経費内訳に転記する。</t>
  </si>
  <si>
    <t>⑭</t>
  </si>
  <si>
    <t>補助金所要額
（定率補助対象分）</t>
    <phoneticPr fontId="1"/>
  </si>
  <si>
    <t>⑬</t>
  </si>
  <si>
    <t>　　　　　　　⑪、⑫を別紙４経費内訳に転記する。</t>
  </si>
  <si>
    <t>⑫</t>
  </si>
  <si>
    <t>⑪</t>
  </si>
  <si>
    <t>　①の蓄電容量(kWh)×4万円</t>
  </si>
  <si>
    <t>円　Ａ（消費税抜きベース）　　　　</t>
  </si>
  <si>
    <t>４－１．上記判定で「家庭用蓄電池」の場合</t>
  </si>
  <si>
    <r>
      <t>　　</t>
    </r>
    <r>
      <rPr>
        <sz val="9"/>
        <color theme="1"/>
        <rFont val="ＭＳ Ｐゴシック"/>
        <family val="3"/>
        <charset val="128"/>
        <scheme val="minor"/>
      </rPr>
      <t>冒頭に記載の対象事業、申請団体種別、家庭用/業務用産業用に応じて、以下のとおり、自動計算される。
　　注：地方公共団体と地方公共団体以外では消費税の取扱いが異なる（地方公共団体以外の申請者については、
　　　　消費税分は補助対象外）。</t>
    </r>
  </si>
  <si>
    <t>４．蓄電システム費、工事費・据え付け費の補助率、上限算定</t>
  </si>
  <si>
    <t>不合格（この時点で算定チェック終了）</t>
    <rPh sb="6" eb="8">
      <t>ジテン</t>
    </rPh>
    <rPh sb="9" eb="11">
      <t>サンテイ</t>
    </rPh>
    <phoneticPr fontId="1"/>
  </si>
  <si>
    <t>ひとつでも×がある場合　：</t>
    <phoneticPr fontId="1"/>
  </si>
  <si>
    <t>合格。以下の「４．蓄電システム費、工事費・据え付け費の補助率、上限算定」へ進む。</t>
    <phoneticPr fontId="1"/>
  </si>
  <si>
    <t>すべての要件を満たす場合　：</t>
    <phoneticPr fontId="1"/>
  </si>
  <si>
    <t>【判定】</t>
    <rPh sb="1" eb="3">
      <t>ハンテイ</t>
    </rPh>
    <phoneticPr fontId="1"/>
  </si>
  <si>
    <r>
      <rPr>
        <b/>
        <sz val="9"/>
        <color theme="1"/>
        <rFont val="ＭＳ Ｐゴシック"/>
        <family val="3"/>
        <charset val="128"/>
        <scheme val="minor"/>
      </rPr>
      <t>【蓄電システム要件の最終判定】</t>
    </r>
    <r>
      <rPr>
        <sz val="9"/>
        <color theme="1"/>
        <rFont val="ＭＳ Ｐゴシック"/>
        <family val="3"/>
        <charset val="128"/>
        <scheme val="minor"/>
      </rPr>
      <t>（上記チェック項目でひとつでも「×」があれば、不合格（蓄電池は補助対象外）。</t>
    </r>
  </si>
  <si>
    <r>
      <t xml:space="preserve">メーカー保証およびサイクル試験による性能の双方が10年以上の蓄電システムであること。
</t>
    </r>
    <r>
      <rPr>
        <sz val="8"/>
        <color theme="1"/>
        <rFont val="ＭＳ Ｐゴシック"/>
        <family val="3"/>
        <charset val="128"/>
        <scheme val="minor"/>
      </rPr>
      <t>※蓄電システムの製造を製造事業者に委託し、自社の製品として販売する事業者も含む。
※当該機器製造事業者外の保証（販売店保証等）は含めない。
※メーカー保証期間内の補償費用は無償であることを条件とする。</t>
    </r>
    <phoneticPr fontId="1"/>
  </si>
  <si>
    <t xml:space="preserve">蓄電容量10kWh未満の蓄電池は、第三者認証機関の製品審査により、「蓄電システムの震災対策基準」の製品審査に合格したものであること。
※第三者認証機関は、電気用品安全法国内登録検査機関であること、且つ、IECEE-CB制度に基づく国内認証機関（NCB）であること。
</t>
  </si>
  <si>
    <t xml:space="preserve">⑤震災対策基準
※リチウムイオン蓄電池部を使用した蓄電システムのみ
</t>
  </si>
  <si>
    <t xml:space="preserve">蓄電システム部が、「JIS C4412-1」または 「JIS C4412-2」に準拠したものであること。
※ 「JIS C4412-2」における要求事項の解釈等は「電気用品の技術基準の解釈 別表第八」に準拠すること。
※平成28年３月末までに、平成26年度（補正）定置用リチウムイオン蓄電池導入支援事業の指定認証機関から「蓄電システムの一般及び安全要求事項」に基づく検査基準による認証がなされている場合、「JIS C4412-1」または「JIS C4412-2」と同等の規格を満足した製品であるとみなす。
</t>
  </si>
  <si>
    <t xml:space="preserve">④蓄電システム部安全基準
※リチウムイオン蓄電池部を使用した蓄電システムのみ
</t>
  </si>
  <si>
    <t xml:space="preserve">○リチウムイオン蓄電池部の場合
　蓄電池部が、「JIS C8715-2」に準拠したものであること。
※平成28年３月末までに、平成26年度（補正）定置用リチウムイオン蓄電池導入支援事業の指定認証機関から「SBA S1101:2011（一般社団法人電池工業会発行）とその解説書」に基づく検査基準による認証がなされている場合、「「JIS C8715-2」と同等の規格を満足した製品であるとみなす。
○リチウムイオン蓄電池部以外の場合
　蓄電池部が、平成二十六年四月十四日消防庁告示第十号「蓄電池設備の基準第二の二」に記載の規格に準拠したものであること。
</t>
  </si>
  <si>
    <t>③蓄電池部安全基準</t>
  </si>
  <si>
    <t>定格出力、出力可能時間、保証期間、修理保証、廃棄方法、アフターサービス等について、所定の表示がなされている蓄電システムであること。</t>
  </si>
  <si>
    <t>②性能表示基準</t>
  </si>
  <si>
    <t xml:space="preserve">蓄電池部（初期実効容量1.0kWh以上）とパワーコンディショナ等の電力変換装置から構成されるシステムであり、蓄電システム本体機器を含むシステム全体を一つのパッケージとして取り扱うものであること。
※初期実効容量は、「JEM」規格で定義された容量を適用する。
※システム全体を統合して管理するための番号（以下、「パッケージ型番」という。）が付与されていること。
</t>
    <phoneticPr fontId="1"/>
  </si>
  <si>
    <t>①蓄電池パッケージ</t>
  </si>
  <si>
    <t>登録要件詳細</t>
  </si>
  <si>
    <t>－</t>
  </si>
  <si>
    <t>業務用産業用</t>
  </si>
  <si>
    <t>15年以上</t>
  </si>
  <si>
    <t>14年</t>
  </si>
  <si>
    <t>13年</t>
  </si>
  <si>
    <t>12年</t>
  </si>
  <si>
    <t>11年</t>
  </si>
  <si>
    <t>⑨b</t>
  </si>
  <si>
    <t>10年</t>
  </si>
  <si>
    <t>家庭用</t>
  </si>
  <si>
    <t>該当</t>
    <phoneticPr fontId="1"/>
  </si>
  <si>
    <t>目標価格（蓄電システム費）</t>
    <rPh sb="5" eb="7">
      <t>チクデン</t>
    </rPh>
    <phoneticPr fontId="1"/>
  </si>
  <si>
    <t>保証年数※</t>
  </si>
  <si>
    <t>区分</t>
  </si>
  <si>
    <t>c)系統電力からの蓄電は行わない。</t>
  </si>
  <si>
    <t>×</t>
    <phoneticPr fontId="1"/>
  </si>
  <si>
    <t>b)導入する再生可能エネルギー発電設備の出力の同等以下。</t>
  </si>
  <si>
    <t>○</t>
    <phoneticPr fontId="1"/>
  </si>
  <si>
    <t>a)再生可能エネルギー発電設備を導入する場合に限る。</t>
  </si>
  <si>
    <t>〇、×を記載</t>
    <phoneticPr fontId="1"/>
  </si>
  <si>
    <t>以下の各項目について、満たす場合は「〇」、満たさない場合は「×」を記載。
（根拠資料として、メーカー仕様書、保証書等の書類を添付のこと)</t>
  </si>
  <si>
    <t>３．蓄電システム要件のチェック</t>
  </si>
  <si>
    <t>⑨ａ</t>
  </si>
  <si>
    <t>(自動計算)</t>
  </si>
  <si>
    <r>
      <t xml:space="preserve">円／kWh、⑦÷① 
</t>
    </r>
    <r>
      <rPr>
        <sz val="8"/>
        <color theme="1"/>
        <rFont val="ＭＳ Ｐゴシック"/>
        <family val="3"/>
        <charset val="128"/>
        <scheme val="minor"/>
      </rPr>
      <t>消費税抜きベース</t>
    </r>
  </si>
  <si>
    <t>蓄電容量1kWhあたりの蓄電システム費</t>
  </si>
  <si>
    <t>⑧</t>
  </si>
  <si>
    <r>
      <t xml:space="preserve">円　
</t>
    </r>
    <r>
      <rPr>
        <sz val="8"/>
        <color theme="1"/>
        <rFont val="ＭＳ Ｐゴシック"/>
        <family val="3"/>
        <charset val="128"/>
        <scheme val="minor"/>
      </rPr>
      <t>消費税抜きベース</t>
    </r>
  </si>
  <si>
    <t>工事費・据付費</t>
  </si>
  <si>
    <t>⑦</t>
  </si>
  <si>
    <r>
      <t>円　
消費</t>
    </r>
    <r>
      <rPr>
        <sz val="8"/>
        <color theme="1"/>
        <rFont val="ＭＳ Ｐゴシック"/>
        <family val="3"/>
        <charset val="128"/>
        <scheme val="minor"/>
      </rPr>
      <t>費税抜きベース</t>
    </r>
  </si>
  <si>
    <t>蓄電システム費</t>
  </si>
  <si>
    <t>据付費</t>
  </si>
  <si>
    <r>
      <t>　　</t>
    </r>
    <r>
      <rPr>
        <b/>
        <sz val="8"/>
        <color theme="1"/>
        <rFont val="ＭＳ Ｐゴシック"/>
        <family val="3"/>
        <charset val="128"/>
        <scheme val="minor"/>
      </rPr>
      <t>工事費・据付費</t>
    </r>
    <r>
      <rPr>
        <sz val="8"/>
        <color theme="1"/>
        <rFont val="ＭＳ Ｐゴシック"/>
        <family val="3"/>
        <charset val="128"/>
        <scheme val="minor"/>
      </rPr>
      <t xml:space="preserve">
注：工事費・据付費は補助対象設備の導入に不可欠なものに限る。</t>
    </r>
  </si>
  <si>
    <t>対象電池を収納する外箱・コンテナ</t>
  </si>
  <si>
    <t>計測・表示装置</t>
  </si>
  <si>
    <t>c) PV共用（切分け不可）</t>
  </si>
  <si>
    <r>
      <rPr>
        <b/>
        <sz val="8"/>
        <rFont val="ＭＳ Ｐゴシック"/>
        <family val="3"/>
        <charset val="128"/>
        <scheme val="minor"/>
      </rPr>
      <t>b）</t>
    </r>
    <r>
      <rPr>
        <sz val="8"/>
        <rFont val="ＭＳ Ｐゴシック"/>
        <family val="3"/>
        <charset val="128"/>
        <scheme val="minor"/>
      </rPr>
      <t xml:space="preserve">PVと共用の蓄電池制御装置(PCS、切分可の場合)
</t>
    </r>
  </si>
  <si>
    <t>b) PV共用（切分け可）</t>
  </si>
  <si>
    <r>
      <t>a)</t>
    </r>
    <r>
      <rPr>
        <sz val="8"/>
        <rFont val="ＭＳ Ｐゴシック"/>
        <family val="3"/>
        <charset val="128"/>
        <scheme val="minor"/>
      </rPr>
      <t xml:space="preserve">蓄電池専用制御装置(PCS)の場合
</t>
    </r>
  </si>
  <si>
    <t>a) 蓄電池専用</t>
  </si>
  <si>
    <r>
      <t xml:space="preserve">ＰＣＳ（下記 </t>
    </r>
    <r>
      <rPr>
        <b/>
        <sz val="9"/>
        <rFont val="ＭＳ Ｐゴシック"/>
        <family val="3"/>
        <charset val="128"/>
        <scheme val="minor"/>
      </rPr>
      <t>a</t>
    </r>
    <r>
      <rPr>
        <sz val="8"/>
        <rFont val="ＭＳ Ｐゴシック"/>
        <family val="3"/>
        <charset val="128"/>
        <scheme val="minor"/>
      </rPr>
      <t>～</t>
    </r>
    <r>
      <rPr>
        <b/>
        <sz val="9"/>
        <rFont val="ＭＳ Ｐゴシック"/>
        <family val="3"/>
        <charset val="128"/>
        <scheme val="minor"/>
      </rPr>
      <t>c</t>
    </r>
    <r>
      <rPr>
        <sz val="8"/>
        <rFont val="ＭＳ Ｐゴシック"/>
        <family val="3"/>
        <charset val="128"/>
        <scheme val="minor"/>
      </rPr>
      <t xml:space="preserve"> から選択し右欄に記載）</t>
    </r>
    <rPh sb="4" eb="6">
      <t>カキ</t>
    </rPh>
    <rPh sb="13" eb="15">
      <t>センタク</t>
    </rPh>
    <rPh sb="16" eb="17">
      <t>ミギ</t>
    </rPh>
    <rPh sb="17" eb="18">
      <t>ラン</t>
    </rPh>
    <rPh sb="19" eb="21">
      <t>キサイ</t>
    </rPh>
    <phoneticPr fontId="1"/>
  </si>
  <si>
    <t>蓄電池本体</t>
  </si>
  <si>
    <t>算定対象金額
(円、消費税抜き)</t>
    <rPh sb="10" eb="11">
      <t>ケ</t>
    </rPh>
    <phoneticPr fontId="1"/>
  </si>
  <si>
    <t>見積書金額
(円、消費税抜き)</t>
    <phoneticPr fontId="1"/>
  </si>
  <si>
    <t>ﾒｰｶｰ名、仕様等</t>
  </si>
  <si>
    <t>項目</t>
    <phoneticPr fontId="1"/>
  </si>
  <si>
    <t>見積書（添付提出のこと）に基づき記載、金額は消費税抜きベースで記載、間接工事費・値引き等は、各項目に按分して計上のこと。</t>
  </si>
  <si>
    <t>２．蓄電システム費、工事費・据付費の算定</t>
  </si>
  <si>
    <t>⑥</t>
    <phoneticPr fontId="1"/>
  </si>
  <si>
    <t>←データ有り要注意</t>
    <rPh sb="4" eb="5">
      <t>ア</t>
    </rPh>
    <rPh sb="6" eb="9">
      <t>ヨウチュウイ</t>
    </rPh>
    <phoneticPr fontId="1"/>
  </si>
  <si>
    <t>⑤</t>
    <phoneticPr fontId="1"/>
  </si>
  <si>
    <t>家庭用/業務用産業用の判別＊</t>
    <phoneticPr fontId="1"/>
  </si>
  <si>
    <t>(自動計算)　①÷②</t>
    <phoneticPr fontId="1"/>
  </si>
  <si>
    <t>蓄電容量/定格出力</t>
  </si>
  <si>
    <t>③</t>
    <phoneticPr fontId="1"/>
  </si>
  <si>
    <t>kW</t>
  </si>
  <si>
    <t>太陽光発電等用パワーコンディショナーの定格出力</t>
  </si>
  <si>
    <t>②</t>
    <phoneticPr fontId="1"/>
  </si>
  <si>
    <t>蓄電池の定格出力</t>
  </si>
  <si>
    <t>蓄電容量＊
（kWh）</t>
    <phoneticPr fontId="1"/>
  </si>
  <si>
    <t>　　黄色枠内に記入</t>
  </si>
  <si>
    <t>　メーカー仕様書（添付提出のこと）に基づき以下について記載する。</t>
  </si>
  <si>
    <t>第6号</t>
    <rPh sb="0" eb="1">
      <t>ダイ</t>
    </rPh>
    <rPh sb="2" eb="3">
      <t>ゴウ</t>
    </rPh>
    <phoneticPr fontId="1"/>
  </si>
  <si>
    <t>１．蓄電池の性能等に関する記載</t>
  </si>
  <si>
    <r>
      <t>・申請団体（個人）の種別(地方公共団体は「</t>
    </r>
    <r>
      <rPr>
        <b/>
        <u/>
        <sz val="9"/>
        <color theme="1"/>
        <rFont val="ＭＳ Ｐゴシック"/>
        <family val="3"/>
        <charset val="128"/>
        <scheme val="minor"/>
      </rPr>
      <t>1</t>
    </r>
    <r>
      <rPr>
        <u/>
        <sz val="9"/>
        <color theme="1"/>
        <rFont val="ＭＳ Ｐゴシック"/>
        <family val="3"/>
        <charset val="128"/>
        <scheme val="minor"/>
      </rPr>
      <t>」、非営利法人等は「</t>
    </r>
    <r>
      <rPr>
        <b/>
        <u/>
        <sz val="9"/>
        <color theme="1"/>
        <rFont val="ＭＳ Ｐゴシック"/>
        <family val="3"/>
        <charset val="128"/>
        <scheme val="minor"/>
      </rPr>
      <t>2</t>
    </r>
    <r>
      <rPr>
        <u/>
        <sz val="9"/>
        <color theme="1"/>
        <rFont val="ＭＳ Ｐゴシック"/>
        <family val="3"/>
        <charset val="128"/>
        <scheme val="minor"/>
      </rPr>
      <t>」、民間企業等は｢</t>
    </r>
    <r>
      <rPr>
        <b/>
        <u/>
        <sz val="9"/>
        <color theme="1"/>
        <rFont val="ＭＳ Ｐゴシック"/>
        <family val="3"/>
        <charset val="128"/>
        <scheme val="minor"/>
      </rPr>
      <t>3</t>
    </r>
    <r>
      <rPr>
        <u/>
        <sz val="9"/>
        <color theme="1"/>
        <rFont val="ＭＳ Ｐゴシック"/>
        <family val="3"/>
        <charset val="128"/>
        <scheme val="minor"/>
      </rPr>
      <t>」を入力</t>
    </r>
  </si>
  <si>
    <t>第1号</t>
    <rPh sb="0" eb="1">
      <t>ダイ</t>
    </rPh>
    <rPh sb="2" eb="3">
      <t>ゴウ</t>
    </rPh>
    <phoneticPr fontId="1"/>
  </si>
  <si>
    <r>
      <t>・対象事業について：申請事業の事業区分を記載(事業の号数の、「</t>
    </r>
    <r>
      <rPr>
        <b/>
        <u/>
        <sz val="9"/>
        <color theme="1"/>
        <rFont val="ＭＳ Ｐゴシック"/>
        <family val="3"/>
        <charset val="128"/>
        <scheme val="minor"/>
      </rPr>
      <t>1</t>
    </r>
    <r>
      <rPr>
        <u/>
        <sz val="9"/>
        <color theme="1"/>
        <rFont val="ＭＳ Ｐゴシック"/>
        <family val="3"/>
        <charset val="128"/>
        <scheme val="minor"/>
      </rPr>
      <t>」、｢</t>
    </r>
    <r>
      <rPr>
        <b/>
        <u/>
        <sz val="9"/>
        <color theme="1"/>
        <rFont val="ＭＳ Ｐゴシック"/>
        <family val="3"/>
        <charset val="128"/>
        <scheme val="minor"/>
      </rPr>
      <t>6</t>
    </r>
    <r>
      <rPr>
        <u/>
        <sz val="9"/>
        <color theme="1"/>
        <rFont val="ＭＳ Ｐゴシック"/>
        <family val="3"/>
        <charset val="128"/>
        <scheme val="minor"/>
      </rPr>
      <t>」のいずれかの数字を入力)</t>
    </r>
  </si>
  <si>
    <t>：</t>
    <phoneticPr fontId="1"/>
  </si>
  <si>
    <t>連絡先（氏名、電話番号）</t>
    <rPh sb="0" eb="3">
      <t>レンラクサキ</t>
    </rPh>
    <rPh sb="4" eb="6">
      <t>シメイ</t>
    </rPh>
    <rPh sb="7" eb="9">
      <t>デンワ</t>
    </rPh>
    <rPh sb="9" eb="11">
      <t>バンゴウ</t>
    </rPh>
    <phoneticPr fontId="1"/>
  </si>
  <si>
    <t>作業エリア</t>
    <rPh sb="0" eb="2">
      <t>サギョウ</t>
    </rPh>
    <phoneticPr fontId="1"/>
  </si>
  <si>
    <t>作成日</t>
    <rPh sb="0" eb="3">
      <t>サクセイビ</t>
    </rPh>
    <phoneticPr fontId="1"/>
  </si>
  <si>
    <t>様式第１　別紙９</t>
  </si>
  <si>
    <r>
      <rPr>
        <b/>
        <sz val="8"/>
        <rFont val="ＭＳ Ｐゴシック"/>
        <family val="3"/>
        <charset val="128"/>
        <scheme val="minor"/>
      </rPr>
      <t>c）</t>
    </r>
    <r>
      <rPr>
        <sz val="8"/>
        <rFont val="ＭＳ Ｐゴシック"/>
        <family val="3"/>
        <charset val="128"/>
        <scheme val="minor"/>
      </rPr>
      <t>PVと共用の蓄電池制御装置(切分不可の場合)＊　
＊：算定対象金額とは、「1万円×PCS定格出力(kW)」を控除したもの</t>
    </r>
    <phoneticPr fontId="12"/>
  </si>
  <si>
    <t>⑨ａ’</t>
    <phoneticPr fontId="1"/>
  </si>
  <si>
    <r>
      <t xml:space="preserve">円／kW 、⑦÷② 
</t>
    </r>
    <r>
      <rPr>
        <sz val="8"/>
        <color theme="1"/>
        <rFont val="ＭＳ Ｐゴシック"/>
        <family val="3"/>
        <charset val="128"/>
        <scheme val="minor"/>
      </rPr>
      <t>消費税抜きベース</t>
    </r>
    <phoneticPr fontId="1"/>
  </si>
  <si>
    <t>(自動判別）
＊家庭用蓄電池は蓄電容量／定格出力が2.0以上のもの、業務用産業用蓄電池は蓄電容量／定格出力が2.0未満のものとする。</t>
    <phoneticPr fontId="1"/>
  </si>
  <si>
    <r>
      <rPr>
        <sz val="9"/>
        <color theme="1"/>
        <rFont val="ＭＳ Ｐゴシック"/>
        <family val="3"/>
        <charset val="128"/>
        <scheme val="minor"/>
      </rPr>
      <t>kWh</t>
    </r>
    <r>
      <rPr>
        <sz val="8"/>
        <color theme="1"/>
        <rFont val="ＭＳ Ｐゴシック"/>
        <family val="3"/>
        <charset val="128"/>
        <scheme val="minor"/>
      </rPr>
      <t xml:space="preserve">
＊蓄電容量は、単電池の定格容量、単電池の公称電圧及び使用する単電池の数の積で算出される蓄電池部の容量とする。</t>
    </r>
    <phoneticPr fontId="1"/>
  </si>
  <si>
    <t>⑨a または⑨a’が⑨b以下の場合   ： 要件を満たす→〇
⑨a または⑨a’が⑨bを越える場合 ： 要件を満たさない→×</t>
    <phoneticPr fontId="1"/>
  </si>
  <si>
    <t>定格出力１kW あたり 25万円</t>
    <rPh sb="0" eb="2">
      <t>テイカク</t>
    </rPh>
    <phoneticPr fontId="1"/>
  </si>
  <si>
    <t>蓄電容量１kWh あたり 15万円</t>
    <phoneticPr fontId="1"/>
  </si>
  <si>
    <t>蓄電容量１kWh あたり 16.5万円</t>
    <phoneticPr fontId="1"/>
  </si>
  <si>
    <t>蓄電容量１kWh あたり 18万円</t>
    <phoneticPr fontId="1"/>
  </si>
  <si>
    <t>蓄電容量１kWh あたり 19.5万円</t>
    <phoneticPr fontId="1"/>
  </si>
  <si>
    <t>蓄電容量１kWh あたり 21万円</t>
    <phoneticPr fontId="1"/>
  </si>
  <si>
    <t>蓄電容量１kWh あたり 22.5万円</t>
    <phoneticPr fontId="1"/>
  </si>
  <si>
    <t>以下の登録要件を満たすか。
　要件を満たす→〇
　要件を満たさない→×</t>
    <phoneticPr fontId="1"/>
  </si>
  <si>
    <t xml:space="preserve">家庭用の場合 ： </t>
    <rPh sb="0" eb="3">
      <t>カテイヨウ</t>
    </rPh>
    <rPh sb="4" eb="6">
      <t>バアイ</t>
    </rPh>
    <phoneticPr fontId="1"/>
  </si>
  <si>
    <t xml:space="preserve">業務用産業用の場合 ： </t>
    <rPh sb="0" eb="3">
      <t>ギョウムヨウ</t>
    </rPh>
    <rPh sb="3" eb="6">
      <t>サンギョウヨウ</t>
    </rPh>
    <rPh sb="7" eb="9">
      <t>バアイ</t>
    </rPh>
    <phoneticPr fontId="1"/>
  </si>
  <si>
    <t>定格出力1kWあたりの蓄電システム費</t>
    <rPh sb="0" eb="2">
      <t>テイカク</t>
    </rPh>
    <rPh sb="2" eb="4">
      <t>シュツリョク</t>
    </rPh>
    <phoneticPr fontId="1"/>
  </si>
  <si>
    <r>
      <t>d)蓄電システム費の価格要件（目標価格との比較）
将来、自立的に普及する蓄電システム市場の成立を目的とし、市場の活性化と、量産体制整備後のさらなるコストダウンを加速させるため、以下の条件を満たしているかを確認。
要件：⑨aの蓄電システム費が、以下の表の機器毎の保証年数に応じて設定した目標価格（⑨b）以下の蓄電システムであること。
【⑤で家庭用と判別された場合】保証年数に該当するケースを選択（目標価格⑨bを確定）。
【⑤で業務用産業用と判別された場合】下表の業務用産業用を選択（目標価格⑨bを確定）。
　</t>
    </r>
    <r>
      <rPr>
        <sz val="8"/>
        <color theme="1"/>
        <rFont val="ＭＳ Ｐゴシック"/>
        <family val="3"/>
        <charset val="128"/>
        <scheme val="minor"/>
      </rPr>
      <t>注：目標価格を判定する保証年数は、原則メーカーの保証年数（無償保証に限る）とする。当該機器製造事業者外の保証（販売店保証等）は含めない。</t>
    </r>
    <rPh sb="194" eb="196">
      <t>センタク</t>
    </rPh>
    <rPh sb="237" eb="239">
      <t>センタク</t>
    </rPh>
    <phoneticPr fontId="1"/>
  </si>
  <si>
    <t>蓄電システム費（⑨a または⑨a’）と目標価格（⑨b）の比較判定</t>
    <phoneticPr fontId="1"/>
  </si>
  <si>
    <r>
      <t xml:space="preserve">   蓄電システム費
</t>
    </r>
    <r>
      <rPr>
        <sz val="8"/>
        <color theme="1"/>
        <rFont val="ＭＳ Ｐゴシック"/>
        <family val="3"/>
        <charset val="128"/>
        <scheme val="minor"/>
      </rPr>
      <t xml:space="preserve">
注：PCS（パワーコンディショナー）については、a）～c）の該当する場合を選択し、記載すること。</t>
    </r>
    <phoneticPr fontId="1"/>
  </si>
  <si>
    <r>
      <rPr>
        <sz val="9"/>
        <color theme="1"/>
        <rFont val="ＭＳ Ｐゴシック"/>
        <family val="3"/>
        <charset val="128"/>
        <scheme val="minor"/>
      </rPr>
      <t>年</t>
    </r>
    <r>
      <rPr>
        <sz val="8"/>
        <color theme="1"/>
        <rFont val="ＭＳ Ｐゴシック"/>
        <family val="3"/>
        <charset val="128"/>
        <scheme val="minor"/>
      </rPr>
      <t xml:space="preserve">
＊家庭用の場合、メーカー保証書の保証年数を記載のこと。</t>
    </r>
    <rPh sb="3" eb="6">
      <t>カテイヨウ</t>
    </rPh>
    <rPh sb="7" eb="9">
      <t>バアイ</t>
    </rPh>
    <rPh sb="23" eb="25">
      <t>キサイ</t>
    </rPh>
    <phoneticPr fontId="1"/>
  </si>
  <si>
    <t>　②の定格出力(kW)×8万円</t>
    <phoneticPr fontId="1"/>
  </si>
  <si>
    <t>プルダウンから選択→</t>
    <rPh sb="7" eb="9">
      <t>センタク</t>
    </rPh>
    <phoneticPr fontId="1"/>
  </si>
  <si>
    <t>プルダウンから選択</t>
    <rPh sb="7" eb="9">
      <t>センタク</t>
    </rPh>
    <phoneticPr fontId="1"/>
  </si>
  <si>
    <t>家庭用</t>
    <rPh sb="0" eb="3">
      <t>カテイヨウ</t>
    </rPh>
    <phoneticPr fontId="1"/>
  </si>
  <si>
    <t>業務産業用</t>
    <rPh sb="0" eb="2">
      <t>ギョウム</t>
    </rPh>
    <rPh sb="2" eb="5">
      <t>サンギョウヨウ</t>
    </rPh>
    <phoneticPr fontId="1"/>
  </si>
  <si>
    <r>
      <t>【蓄電システムの「システム価格」、「補助率、上限」算定チェックシート(第１号、第６号事業用)】</t>
    </r>
    <r>
      <rPr>
        <b/>
        <sz val="12"/>
        <color rgb="FFFF0000"/>
        <rFont val="ＭＳ Ｐゴシック"/>
        <family val="3"/>
        <charset val="128"/>
        <scheme val="minor"/>
      </rPr>
      <t>改訂版</t>
    </r>
    <rPh sb="35" eb="36">
      <t>ダイ</t>
    </rPh>
    <rPh sb="39" eb="40">
      <t>ダイ</t>
    </rPh>
    <rPh sb="47" eb="50">
      <t>カイテイバン</t>
    </rPh>
    <phoneticPr fontId="1"/>
  </si>
  <si>
    <t>補助対象経費支出予定額
（定率補助対象分）</t>
    <rPh sb="14" eb="15">
      <t>リツ</t>
    </rPh>
    <phoneticPr fontId="1"/>
  </si>
  <si>
    <t>補助金所要額
（定率補助対象分）</t>
    <rPh sb="9" eb="10">
      <t>リツ</t>
    </rPh>
    <phoneticPr fontId="1"/>
  </si>
  <si>
    <t>⑥保証期間</t>
    <phoneticPr fontId="1"/>
  </si>
  <si>
    <r>
      <t>蓄電池保証年数＊
　　　　　　　　　　　</t>
    </r>
    <r>
      <rPr>
        <i/>
        <sz val="8"/>
        <color rgb="FF0000FF"/>
        <rFont val="ＭＳ Ｐゴシック"/>
        <family val="3"/>
        <charset val="128"/>
        <scheme val="minor"/>
      </rPr>
      <t>プルダウンから選択→</t>
    </r>
    <rPh sb="27" eb="29">
      <t>センタク</t>
    </rPh>
    <phoneticPr fontId="1"/>
  </si>
  <si>
    <r>
      <t>e）登録要件（</t>
    </r>
    <r>
      <rPr>
        <sz val="9"/>
        <color rgb="FFFF0000"/>
        <rFont val="ＭＳ Ｐゴシック"/>
        <family val="3"/>
        <charset val="128"/>
        <scheme val="minor"/>
      </rPr>
      <t>家庭用の場合のみ記入</t>
    </r>
    <r>
      <rPr>
        <sz val="9"/>
        <color theme="1"/>
        <rFont val="ＭＳ Ｐゴシック"/>
        <family val="3"/>
        <charset val="128"/>
        <scheme val="minor"/>
      </rPr>
      <t>）
　（業務用産業用の場合は記入不要）</t>
    </r>
    <rPh sb="7" eb="10">
      <t>カテイヨウ</t>
    </rPh>
    <rPh sb="11" eb="13">
      <t>バアイ</t>
    </rPh>
    <rPh sb="15" eb="17">
      <t>キニュウ</t>
    </rPh>
    <rPh sb="21" eb="24">
      <t>ギョウムヨウ</t>
    </rPh>
    <rPh sb="24" eb="27">
      <t>サンギョウヨウ</t>
    </rPh>
    <rPh sb="28" eb="30">
      <t>バアイ</t>
    </rPh>
    <rPh sb="31" eb="33">
      <t>キニュウ</t>
    </rPh>
    <rPh sb="33" eb="35">
      <t>フヨウ</t>
    </rPh>
    <phoneticPr fontId="1"/>
  </si>
  <si>
    <r>
      <t>申請者は、以下の</t>
    </r>
    <r>
      <rPr>
        <b/>
        <sz val="9"/>
        <color theme="1"/>
        <rFont val="ＭＳ Ｐゴシック"/>
        <family val="3"/>
        <charset val="128"/>
        <scheme val="minor"/>
      </rPr>
      <t>すべての黄色の枠内</t>
    </r>
    <r>
      <rPr>
        <sz val="9"/>
        <color theme="1"/>
        <rFont val="ＭＳ Ｐゴシック"/>
        <family val="3"/>
        <charset val="128"/>
        <scheme val="minor"/>
      </rPr>
      <t>について記載を行った上、本算定チェックシートを他の書類と一緒に提出する。</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</si>
</sst>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_ "/>
    <numFmt numFmtId="177" formatCode="#,##0_ "/>
    <numFmt numFmtId="178" formatCode="0.0_ "/>
    <numFmt numFmtId="179" formatCode="#,##0_);[Red]\(#,##0\)"/>
    <numFmt numFmtId="180" formatCode="0.0_);[Red]\(0.0\)"/>
    <numFmt numFmtId="181" formatCode="0.0"/>
    <numFmt numFmtId="182" formatCode="[$-411]ggge&quot;年 &quot;m&quot;月 &quot;d&quot;日&quot;;@"/>
    <numFmt numFmtId="183" formatCode="\ @"/>
  </numFmts>
  <fonts count="27">
    <font>
      <sz val="11"/>
      <color theme="1"/>
      <name val="ＭＳ Ｐゴシック"/>
      <charset val="128"/>
      <scheme val="minor"/>
    </font>
    <font>
      <sz val="6"/>
      <name val="ＭＳ Ｐゴシック"/>
      <family val="3"/>
      <charset val="128"/>
      <scheme val="minor"/>
    </font>
    <font>
      <sz val="9"/>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9"/>
      <color rgb="FFFF0000"/>
      <name val="ＭＳ Ｐゴシック"/>
      <family val="3"/>
      <charset val="128"/>
      <scheme val="minor"/>
    </font>
    <font>
      <sz val="11"/>
      <color theme="1"/>
      <name val="ＭＳ Ｐゴシック"/>
      <family val="3"/>
      <charset val="128"/>
      <scheme val="minor"/>
    </font>
    <font>
      <b/>
      <sz val="9"/>
      <color theme="1"/>
      <name val="ＭＳ Ｐゴシック"/>
      <family val="3"/>
      <charset val="128"/>
      <scheme val="minor"/>
    </font>
    <font>
      <b/>
      <u/>
      <sz val="9"/>
      <color theme="1"/>
      <name val="ＭＳ Ｐゴシック"/>
      <family val="3"/>
      <charset val="128"/>
      <scheme val="minor"/>
    </font>
    <font>
      <b/>
      <sz val="11"/>
      <color theme="1"/>
      <name val="ＭＳ Ｐゴシック"/>
      <family val="3"/>
      <charset val="128"/>
      <scheme val="minor"/>
    </font>
    <font>
      <b/>
      <sz val="10"/>
      <color rgb="FFFF0000"/>
      <name val="ＭＳ Ｐゴシック"/>
      <family val="3"/>
      <charset val="128"/>
      <scheme val="minor"/>
    </font>
    <font>
      <sz val="6"/>
      <name val="ＭＳ Ｐゴシック"/>
      <family val="3"/>
      <charset val="128"/>
      <scheme val="minor"/>
    </font>
    <font>
      <b/>
      <sz val="9"/>
      <name val="ＭＳ Ｐゴシック"/>
      <family val="3"/>
      <charset val="128"/>
      <scheme val="minor"/>
    </font>
    <font>
      <sz val="8"/>
      <color theme="1"/>
      <name val="ＭＳ Ｐゴシック"/>
      <family val="3"/>
      <charset val="128"/>
      <scheme val="minor"/>
    </font>
    <font>
      <b/>
      <sz val="14"/>
      <color theme="1"/>
      <name val="ＭＳ Ｐゴシック"/>
      <family val="3"/>
      <charset val="128"/>
      <scheme val="minor"/>
    </font>
    <font>
      <sz val="9"/>
      <color rgb="FF000000"/>
      <name val="ＭＳ Ｐゴシック"/>
      <family val="3"/>
      <charset val="128"/>
      <scheme val="minor"/>
    </font>
    <font>
      <b/>
      <sz val="8"/>
      <color theme="1"/>
      <name val="ＭＳ Ｐゴシック"/>
      <family val="3"/>
      <charset val="128"/>
      <scheme val="minor"/>
    </font>
    <font>
      <sz val="8"/>
      <name val="ＭＳ Ｐゴシック"/>
      <family val="3"/>
      <charset val="128"/>
      <scheme val="minor"/>
    </font>
    <font>
      <b/>
      <sz val="8"/>
      <name val="ＭＳ Ｐゴシック"/>
      <family val="3"/>
      <charset val="128"/>
      <scheme val="minor"/>
    </font>
    <font>
      <b/>
      <sz val="9"/>
      <color rgb="FF0070C0"/>
      <name val="ＭＳ Ｐゴシック"/>
      <family val="3"/>
      <charset val="128"/>
      <scheme val="minor"/>
    </font>
    <font>
      <u/>
      <sz val="9"/>
      <color theme="1"/>
      <name val="ＭＳ Ｐゴシック"/>
      <family val="3"/>
      <charset val="128"/>
      <scheme val="minor"/>
    </font>
    <font>
      <sz val="12"/>
      <color theme="1"/>
      <name val="ＭＳ Ｐゴシック"/>
      <family val="3"/>
      <charset val="128"/>
      <scheme val="minor"/>
    </font>
    <font>
      <b/>
      <sz val="11"/>
      <color rgb="FF0070C0"/>
      <name val="ＭＳ Ｐゴシック"/>
      <family val="3"/>
      <charset val="128"/>
      <scheme val="minor"/>
    </font>
    <font>
      <i/>
      <sz val="8"/>
      <color rgb="FF0000FF"/>
      <name val="ＭＳ Ｐゴシック"/>
      <family val="3"/>
      <charset val="128"/>
      <scheme val="minor"/>
    </font>
    <font>
      <sz val="11"/>
      <name val="ＭＳ Ｐゴシック"/>
      <family val="3"/>
      <charset val="128"/>
      <scheme val="minor"/>
    </font>
    <font>
      <b/>
      <sz val="12"/>
      <color rgb="FFFF0000"/>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s>
  <borders count="17">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s>
  <cellStyleXfs count="3">
    <xf numFmtId="0" fontId="0" fillId="0" borderId="0">
      <alignment vertical="center"/>
    </xf>
    <xf numFmtId="38" fontId="7" fillId="0" borderId="0" applyFont="0" applyFill="0" applyBorder="0" applyAlignment="0" applyProtection="0">
      <alignment vertical="center"/>
    </xf>
    <xf numFmtId="0" fontId="7" fillId="0" borderId="0">
      <alignment vertical="center"/>
    </xf>
  </cellStyleXfs>
  <cellXfs count="205">
    <xf numFmtId="0" fontId="0" fillId="0" borderId="0" xfId="0">
      <alignment vertical="center"/>
    </xf>
    <xf numFmtId="0" fontId="3" fillId="0" borderId="0" xfId="0" applyFont="1" applyProtection="1">
      <alignment vertical="center"/>
    </xf>
    <xf numFmtId="0" fontId="7" fillId="0" borderId="0" xfId="0" applyFont="1" applyProtection="1">
      <alignment vertical="center"/>
    </xf>
    <xf numFmtId="0" fontId="3" fillId="0" borderId="5" xfId="0" applyFont="1" applyBorder="1" applyAlignment="1" applyProtection="1">
      <alignment horizontal="center" vertical="center"/>
    </xf>
    <xf numFmtId="0" fontId="8" fillId="0" borderId="0" xfId="0" applyFont="1" applyProtection="1">
      <alignment vertical="center"/>
    </xf>
    <xf numFmtId="0" fontId="3" fillId="0" borderId="0" xfId="0" applyFont="1" applyBorder="1" applyAlignment="1" applyProtection="1">
      <alignment horizontal="center" vertical="center"/>
    </xf>
    <xf numFmtId="178" fontId="3" fillId="0" borderId="0" xfId="0" applyNumberFormat="1" applyFont="1" applyProtection="1">
      <alignment vertical="center"/>
    </xf>
    <xf numFmtId="176" fontId="3" fillId="0" borderId="0" xfId="0" applyNumberFormat="1" applyFont="1" applyProtection="1">
      <alignment vertical="center"/>
    </xf>
    <xf numFmtId="0" fontId="4" fillId="0" borderId="0" xfId="0" applyFont="1" applyProtection="1">
      <alignment vertical="center"/>
    </xf>
    <xf numFmtId="0" fontId="4" fillId="0" borderId="0" xfId="0" applyFont="1" applyBorder="1" applyProtection="1">
      <alignment vertical="center"/>
    </xf>
    <xf numFmtId="0" fontId="5" fillId="0" borderId="0" xfId="0" applyFont="1" applyProtection="1">
      <alignment vertical="center"/>
    </xf>
    <xf numFmtId="0" fontId="3" fillId="0" borderId="0" xfId="0" applyFont="1" applyAlignment="1" applyProtection="1">
      <alignment horizontal="left" vertical="top"/>
    </xf>
    <xf numFmtId="178" fontId="3" fillId="0" borderId="0" xfId="0" applyNumberFormat="1" applyFont="1" applyFill="1" applyAlignment="1" applyProtection="1">
      <alignment vertical="center"/>
    </xf>
    <xf numFmtId="176" fontId="3" fillId="0" borderId="0" xfId="0" applyNumberFormat="1" applyFont="1" applyFill="1" applyAlignment="1" applyProtection="1">
      <alignment vertical="center"/>
    </xf>
    <xf numFmtId="179" fontId="3" fillId="0" borderId="0" xfId="0" applyNumberFormat="1" applyFont="1" applyBorder="1" applyAlignment="1" applyProtection="1">
      <alignment horizontal="right" vertical="center"/>
    </xf>
    <xf numFmtId="0" fontId="3" fillId="0" borderId="0" xfId="0" applyFont="1" applyFill="1" applyAlignment="1" applyProtection="1">
      <alignment vertical="center"/>
    </xf>
    <xf numFmtId="177" fontId="4" fillId="0" borderId="0" xfId="0" applyNumberFormat="1" applyFont="1" applyProtection="1">
      <alignment vertical="center"/>
    </xf>
    <xf numFmtId="177" fontId="3" fillId="0" borderId="0" xfId="0" applyNumberFormat="1" applyFont="1" applyBorder="1" applyAlignment="1" applyProtection="1">
      <alignment horizontal="right" vertical="center"/>
    </xf>
    <xf numFmtId="0" fontId="3" fillId="0" borderId="0" xfId="0" applyFont="1" applyFill="1" applyAlignment="1" applyProtection="1">
      <alignment horizontal="left" vertical="center"/>
    </xf>
    <xf numFmtId="179" fontId="3" fillId="0" borderId="0" xfId="0" applyNumberFormat="1" applyFont="1" applyProtection="1">
      <alignment vertical="center"/>
    </xf>
    <xf numFmtId="0" fontId="13" fillId="0" borderId="0" xfId="0" applyFont="1" applyProtection="1">
      <alignment vertical="center"/>
    </xf>
    <xf numFmtId="49" fontId="13" fillId="0" borderId="0" xfId="0" applyNumberFormat="1" applyFont="1" applyAlignment="1" applyProtection="1">
      <alignment horizontal="left" vertical="center"/>
    </xf>
    <xf numFmtId="0" fontId="4" fillId="0" borderId="0" xfId="0" applyFont="1" applyFill="1" applyAlignment="1" applyProtection="1">
      <alignment vertical="center"/>
    </xf>
    <xf numFmtId="0" fontId="2" fillId="0" borderId="0" xfId="0" applyFont="1" applyAlignment="1" applyProtection="1">
      <alignment horizontal="left" vertical="top"/>
    </xf>
    <xf numFmtId="0" fontId="2" fillId="0" borderId="0" xfId="0" applyFont="1" applyFill="1" applyAlignment="1" applyProtection="1">
      <alignment vertical="center"/>
    </xf>
    <xf numFmtId="176" fontId="3" fillId="0" borderId="0" xfId="0" applyNumberFormat="1" applyFont="1" applyFill="1" applyBorder="1" applyAlignment="1" applyProtection="1">
      <alignment vertical="center"/>
    </xf>
    <xf numFmtId="0" fontId="13" fillId="0" borderId="0" xfId="0" applyFont="1" applyAlignment="1" applyProtection="1">
      <alignment horizontal="left" vertical="top"/>
    </xf>
    <xf numFmtId="0" fontId="3" fillId="0" borderId="0" xfId="0" applyNumberFormat="1" applyFont="1" applyBorder="1" applyAlignment="1" applyProtection="1">
      <alignment horizontal="right" vertical="center"/>
    </xf>
    <xf numFmtId="0" fontId="2" fillId="0" borderId="0" xfId="0" applyFont="1" applyFill="1" applyBorder="1" applyAlignment="1" applyProtection="1">
      <alignment vertical="center"/>
    </xf>
    <xf numFmtId="0" fontId="2" fillId="0" borderId="0" xfId="0" applyFont="1" applyFill="1" applyAlignment="1" applyProtection="1">
      <alignment horizontal="left" vertical="center"/>
    </xf>
    <xf numFmtId="0" fontId="4" fillId="3" borderId="0" xfId="0" applyFont="1" applyFill="1" applyProtection="1">
      <alignment vertical="center"/>
    </xf>
    <xf numFmtId="0" fontId="10" fillId="0" borderId="0" xfId="0" applyFont="1" applyAlignment="1" applyProtection="1">
      <alignment horizontal="left" vertical="top"/>
    </xf>
    <xf numFmtId="0" fontId="15" fillId="0" borderId="0" xfId="0" applyFont="1" applyAlignment="1" applyProtection="1">
      <alignment horizontal="left" vertical="top"/>
    </xf>
    <xf numFmtId="177" fontId="3" fillId="0" borderId="5" xfId="0" applyNumberFormat="1" applyFont="1" applyBorder="1" applyAlignment="1" applyProtection="1">
      <alignment horizontal="right" vertical="center"/>
    </xf>
    <xf numFmtId="177" fontId="3" fillId="0" borderId="5" xfId="0" applyNumberFormat="1" applyFont="1" applyFill="1" applyBorder="1" applyAlignment="1" applyProtection="1">
      <alignment horizontal="right" vertical="center"/>
    </xf>
    <xf numFmtId="179" fontId="3" fillId="0" borderId="5" xfId="0" applyNumberFormat="1" applyFont="1" applyFill="1" applyBorder="1" applyAlignment="1" applyProtection="1">
      <alignment horizontal="right" vertical="center"/>
    </xf>
    <xf numFmtId="179" fontId="3" fillId="0" borderId="5" xfId="0" applyNumberFormat="1" applyFont="1" applyBorder="1" applyAlignment="1" applyProtection="1">
      <alignment horizontal="right" vertical="center"/>
    </xf>
    <xf numFmtId="0" fontId="7" fillId="0" borderId="0" xfId="0" applyFont="1" applyAlignment="1" applyProtection="1">
      <alignment vertical="top" wrapText="1"/>
    </xf>
    <xf numFmtId="0" fontId="10" fillId="0" borderId="0" xfId="0" applyFont="1" applyAlignment="1" applyProtection="1">
      <alignment horizontal="center"/>
    </xf>
    <xf numFmtId="0" fontId="3" fillId="0" borderId="0" xfId="0" applyFont="1" applyAlignment="1" applyProtection="1">
      <alignment horizontal="left" vertical="center"/>
    </xf>
    <xf numFmtId="0" fontId="8" fillId="0" borderId="0" xfId="0" applyFont="1" applyAlignment="1" applyProtection="1">
      <alignment horizontal="left" vertical="center"/>
    </xf>
    <xf numFmtId="0" fontId="8" fillId="0" borderId="0" xfId="0" applyFont="1" applyAlignment="1" applyProtection="1">
      <alignment horizontal="left" vertical="top"/>
    </xf>
    <xf numFmtId="0" fontId="4" fillId="0" borderId="11" xfId="0" applyFont="1" applyBorder="1" applyAlignment="1" applyProtection="1">
      <alignment horizontal="left" vertical="top" wrapText="1"/>
    </xf>
    <xf numFmtId="0" fontId="4" fillId="0" borderId="0" xfId="0" applyFont="1" applyAlignment="1" applyProtection="1">
      <alignment vertical="center"/>
    </xf>
    <xf numFmtId="0" fontId="4" fillId="0" borderId="0" xfId="0" applyFont="1" applyAlignment="1" applyProtection="1"/>
    <xf numFmtId="38" fontId="4" fillId="3" borderId="0" xfId="1" applyFont="1" applyFill="1" applyProtection="1">
      <alignment vertical="center"/>
    </xf>
    <xf numFmtId="0" fontId="3" fillId="0" borderId="4" xfId="0" applyFont="1" applyBorder="1" applyAlignment="1" applyProtection="1">
      <alignment horizontal="center" vertical="center" wrapText="1"/>
    </xf>
    <xf numFmtId="0" fontId="10" fillId="0" borderId="0" xfId="0" applyFont="1" applyBorder="1" applyAlignment="1" applyProtection="1">
      <alignment vertical="center"/>
    </xf>
    <xf numFmtId="0" fontId="3" fillId="0" borderId="2" xfId="0" applyFont="1" applyBorder="1" applyAlignment="1" applyProtection="1">
      <alignment horizontal="left" vertical="top"/>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top"/>
    </xf>
    <xf numFmtId="0" fontId="17" fillId="0" borderId="5" xfId="0" applyFont="1" applyBorder="1" applyAlignment="1" applyProtection="1">
      <alignment horizontal="center" vertical="center"/>
    </xf>
    <xf numFmtId="0" fontId="3" fillId="0" borderId="0" xfId="0" applyFont="1" applyBorder="1" applyAlignment="1" applyProtection="1">
      <alignment horizontal="left" vertical="top"/>
    </xf>
    <xf numFmtId="180" fontId="3" fillId="0" borderId="0" xfId="0" applyNumberFormat="1" applyFont="1" applyBorder="1" applyAlignment="1" applyProtection="1">
      <alignment horizontal="right" vertical="top"/>
    </xf>
    <xf numFmtId="3" fontId="3" fillId="0" borderId="0" xfId="0" applyNumberFormat="1" applyFont="1" applyBorder="1" applyAlignment="1" applyProtection="1">
      <alignment vertical="center" wrapText="1"/>
    </xf>
    <xf numFmtId="177" fontId="3" fillId="0" borderId="8" xfId="0" applyNumberFormat="1" applyFont="1" applyBorder="1" applyProtection="1">
      <alignment vertical="center"/>
    </xf>
    <xf numFmtId="0" fontId="8" fillId="0" borderId="0" xfId="0" applyFont="1" applyBorder="1" applyAlignment="1" applyProtection="1">
      <alignment horizontal="left" vertical="top" wrapText="1"/>
    </xf>
    <xf numFmtId="177" fontId="3" fillId="0" borderId="0" xfId="0" applyNumberFormat="1" applyFont="1" applyBorder="1" applyAlignment="1" applyProtection="1">
      <alignment vertical="center" wrapText="1"/>
    </xf>
    <xf numFmtId="177" fontId="7" fillId="0" borderId="4" xfId="0" applyNumberFormat="1" applyFont="1" applyBorder="1" applyProtection="1">
      <alignment vertical="center"/>
    </xf>
    <xf numFmtId="177" fontId="7" fillId="2" borderId="5" xfId="0" applyNumberFormat="1" applyFont="1" applyFill="1" applyBorder="1" applyProtection="1">
      <alignment vertical="center"/>
      <protection locked="0"/>
    </xf>
    <xf numFmtId="0" fontId="4" fillId="0" borderId="0" xfId="0" applyFont="1" applyBorder="1" applyAlignment="1" applyProtection="1">
      <alignment vertical="center"/>
    </xf>
    <xf numFmtId="0" fontId="11" fillId="3" borderId="0" xfId="0" applyFont="1" applyFill="1" applyProtection="1">
      <alignment vertical="center"/>
    </xf>
    <xf numFmtId="0" fontId="4" fillId="2" borderId="5" xfId="0" applyFont="1" applyFill="1" applyBorder="1" applyProtection="1">
      <alignment vertical="center"/>
    </xf>
    <xf numFmtId="0" fontId="20" fillId="0" borderId="5" xfId="0" applyFont="1" applyBorder="1" applyAlignment="1" applyProtection="1">
      <alignment horizontal="center" vertical="center"/>
    </xf>
    <xf numFmtId="181" fontId="7" fillId="2" borderId="5" xfId="0" applyNumberFormat="1" applyFont="1" applyFill="1" applyBorder="1" applyAlignment="1" applyProtection="1">
      <alignment horizontal="center" vertical="center"/>
      <protection locked="0"/>
    </xf>
    <xf numFmtId="0" fontId="21" fillId="0" borderId="0" xfId="0" applyFont="1" applyAlignment="1" applyProtection="1">
      <alignment horizontal="left" vertical="top"/>
    </xf>
    <xf numFmtId="0" fontId="4" fillId="0" borderId="0" xfId="0" applyFont="1" applyAlignment="1" applyProtection="1">
      <alignment horizontal="left" vertical="top"/>
    </xf>
    <xf numFmtId="0" fontId="4" fillId="0" borderId="0" xfId="0" applyFont="1" applyAlignment="1" applyProtection="1">
      <alignment horizontal="centerContinuous" vertical="center"/>
    </xf>
    <xf numFmtId="0" fontId="4" fillId="0" borderId="0" xfId="0" applyFont="1" applyAlignment="1" applyProtection="1">
      <alignment horizontal="centerContinuous" vertical="top"/>
    </xf>
    <xf numFmtId="0" fontId="22" fillId="0" borderId="0" xfId="0" applyFont="1" applyAlignment="1" applyProtection="1">
      <alignment horizontal="centerContinuous"/>
    </xf>
    <xf numFmtId="0" fontId="4" fillId="0" borderId="0" xfId="0" applyFont="1" applyAlignment="1" applyProtection="1">
      <alignment horizontal="right"/>
    </xf>
    <xf numFmtId="0" fontId="3" fillId="0" borderId="3" xfId="0" applyFont="1" applyBorder="1" applyAlignment="1" applyProtection="1">
      <alignment horizontal="left" vertical="center"/>
    </xf>
    <xf numFmtId="0" fontId="3" fillId="0" borderId="9" xfId="0" applyFont="1" applyBorder="1" applyAlignment="1" applyProtection="1">
      <alignment horizontal="center" vertical="center" wrapText="1"/>
    </xf>
    <xf numFmtId="0" fontId="3" fillId="0" borderId="1" xfId="0" applyFont="1" applyBorder="1" applyAlignment="1" applyProtection="1">
      <alignment horizontal="left" vertical="top" wrapText="1"/>
    </xf>
    <xf numFmtId="0" fontId="7" fillId="0" borderId="1" xfId="0" applyFont="1" applyBorder="1" applyAlignment="1" applyProtection="1">
      <alignment horizontal="left" vertical="top" wrapText="1"/>
    </xf>
    <xf numFmtId="0" fontId="7" fillId="0" borderId="0" xfId="0" applyFont="1" applyBorder="1" applyProtection="1">
      <alignment vertical="center"/>
    </xf>
    <xf numFmtId="0" fontId="4" fillId="3" borderId="0" xfId="0" applyFont="1" applyFill="1" applyBorder="1" applyProtection="1">
      <alignment vertical="center"/>
    </xf>
    <xf numFmtId="0" fontId="3" fillId="0" borderId="5" xfId="0" applyFont="1" applyFill="1" applyBorder="1" applyAlignment="1" applyProtection="1">
      <alignment horizontal="center" vertical="center"/>
    </xf>
    <xf numFmtId="0" fontId="19" fillId="0" borderId="13" xfId="0" applyFont="1" applyBorder="1" applyAlignment="1" applyProtection="1">
      <alignment horizontal="left" vertical="top" wrapText="1" indent="1"/>
    </xf>
    <xf numFmtId="0" fontId="18" fillId="0" borderId="3" xfId="0" applyFont="1" applyBorder="1" applyAlignment="1" applyProtection="1">
      <alignment horizontal="left" vertical="top" wrapText="1" indent="1"/>
    </xf>
    <xf numFmtId="0" fontId="18" fillId="0" borderId="15" xfId="0" applyFont="1" applyBorder="1" applyAlignment="1" applyProtection="1">
      <alignment horizontal="left" vertical="top" wrapText="1" indent="1"/>
    </xf>
    <xf numFmtId="0" fontId="23" fillId="2" borderId="5" xfId="0" applyFont="1" applyFill="1" applyBorder="1" applyAlignment="1" applyProtection="1">
      <alignment horizontal="center" vertical="top"/>
      <protection locked="0"/>
    </xf>
    <xf numFmtId="0" fontId="5" fillId="2" borderId="5"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wrapText="1"/>
    </xf>
    <xf numFmtId="0" fontId="4" fillId="3" borderId="0" xfId="0" applyNumberFormat="1" applyFont="1" applyFill="1" applyAlignment="1" applyProtection="1">
      <alignment horizontal="center" vertical="center"/>
    </xf>
    <xf numFmtId="49" fontId="7" fillId="2" borderId="5" xfId="0" applyNumberFormat="1"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wrapText="1"/>
    </xf>
    <xf numFmtId="0" fontId="7" fillId="0" borderId="9" xfId="0" applyFont="1" applyBorder="1" applyProtection="1">
      <alignment vertical="center"/>
    </xf>
    <xf numFmtId="0" fontId="7" fillId="0" borderId="11" xfId="0" applyFont="1" applyBorder="1" applyProtection="1">
      <alignment vertical="center"/>
    </xf>
    <xf numFmtId="0" fontId="7" fillId="0" borderId="13" xfId="0" applyFont="1" applyBorder="1" applyProtection="1">
      <alignment vertical="center"/>
    </xf>
    <xf numFmtId="0" fontId="4" fillId="0" borderId="0" xfId="0" applyFont="1" applyBorder="1" applyAlignment="1" applyProtection="1">
      <alignment horizontal="left" vertical="top" wrapText="1"/>
    </xf>
    <xf numFmtId="0" fontId="4" fillId="3" borderId="5" xfId="0" applyFont="1" applyFill="1" applyBorder="1" applyProtection="1">
      <alignment vertical="center"/>
    </xf>
    <xf numFmtId="49" fontId="3" fillId="2" borderId="5" xfId="0" applyNumberFormat="1" applyFont="1" applyFill="1" applyBorder="1" applyProtection="1">
      <alignment vertical="center"/>
      <protection locked="0"/>
    </xf>
    <xf numFmtId="0" fontId="24" fillId="0" borderId="0" xfId="0" applyFont="1" applyAlignment="1" applyProtection="1">
      <alignment horizontal="right" vertical="center"/>
    </xf>
    <xf numFmtId="0" fontId="24" fillId="0" borderId="2" xfId="0" applyFont="1" applyBorder="1" applyAlignment="1" applyProtection="1">
      <alignment horizontal="right" vertical="center"/>
    </xf>
    <xf numFmtId="0" fontId="24" fillId="0" borderId="5" xfId="0" applyFont="1" applyBorder="1" applyAlignment="1" applyProtection="1">
      <alignment horizontal="center" vertical="center" wrapText="1"/>
    </xf>
    <xf numFmtId="0" fontId="3" fillId="0" borderId="0" xfId="0" applyFont="1" applyAlignment="1" applyProtection="1">
      <alignment horizontal="left" vertical="top" wrapText="1"/>
    </xf>
    <xf numFmtId="0" fontId="7" fillId="0" borderId="0" xfId="0" applyFont="1" applyAlignment="1" applyProtection="1">
      <alignment horizontal="left" vertical="top" wrapText="1"/>
    </xf>
    <xf numFmtId="0" fontId="18" fillId="0" borderId="3" xfId="0" applyFont="1" applyBorder="1" applyAlignment="1" applyProtection="1">
      <alignment horizontal="left" vertical="top" wrapText="1"/>
    </xf>
    <xf numFmtId="0" fontId="3" fillId="0" borderId="5" xfId="0" applyFont="1" applyBorder="1" applyAlignment="1" applyProtection="1">
      <alignment horizontal="center" vertical="center" wrapText="1"/>
    </xf>
    <xf numFmtId="0" fontId="14" fillId="0" borderId="13" xfId="0" applyFont="1" applyBorder="1" applyAlignment="1" applyProtection="1">
      <alignment horizontal="left" vertical="top" wrapText="1"/>
    </xf>
    <xf numFmtId="176" fontId="14" fillId="0" borderId="0" xfId="0" applyNumberFormat="1" applyFont="1" applyFill="1" applyAlignment="1" applyProtection="1">
      <alignment vertical="center" wrapText="1"/>
    </xf>
    <xf numFmtId="0" fontId="4" fillId="3" borderId="0" xfId="0" applyFont="1" applyFill="1" applyAlignment="1" applyProtection="1">
      <alignment horizontal="center" vertical="center"/>
    </xf>
    <xf numFmtId="0" fontId="8" fillId="0" borderId="0" xfId="0" applyFont="1" applyAlignment="1" applyProtection="1">
      <alignment horizontal="left" vertical="top" wrapText="1"/>
    </xf>
    <xf numFmtId="0" fontId="2" fillId="0" borderId="0" xfId="0" applyNumberFormat="1" applyFont="1" applyFill="1" applyAlignment="1" applyProtection="1">
      <alignment horizontal="left" vertical="center"/>
    </xf>
    <xf numFmtId="176" fontId="14" fillId="0" borderId="0" xfId="0" applyNumberFormat="1" applyFont="1" applyFill="1" applyAlignment="1" applyProtection="1">
      <alignment vertical="center"/>
    </xf>
    <xf numFmtId="0" fontId="8" fillId="0" borderId="5" xfId="0" applyFont="1" applyBorder="1" applyAlignment="1" applyProtection="1">
      <alignment horizontal="center" vertical="center" wrapText="1"/>
    </xf>
    <xf numFmtId="0" fontId="3" fillId="0" borderId="0" xfId="0" applyNumberFormat="1" applyFont="1" applyFill="1" applyAlignment="1" applyProtection="1">
      <alignment vertical="center"/>
    </xf>
    <xf numFmtId="0" fontId="3" fillId="0" borderId="0" xfId="0" applyNumberFormat="1" applyFont="1" applyFill="1" applyAlignment="1" applyProtection="1">
      <alignment horizontal="left" vertical="center"/>
    </xf>
    <xf numFmtId="0" fontId="3" fillId="0" borderId="3" xfId="0" applyFont="1" applyBorder="1" applyAlignment="1" applyProtection="1">
      <alignment horizontal="center" vertical="center" wrapText="1"/>
    </xf>
    <xf numFmtId="0" fontId="3" fillId="0" borderId="11" xfId="0" applyFont="1" applyBorder="1" applyAlignment="1" applyProtection="1">
      <alignment horizontal="left" vertical="top" wrapText="1"/>
    </xf>
    <xf numFmtId="0" fontId="3" fillId="0" borderId="7" xfId="0" applyFont="1" applyBorder="1" applyAlignment="1" applyProtection="1">
      <alignment horizontal="left" vertical="top" wrapText="1"/>
    </xf>
    <xf numFmtId="0" fontId="7" fillId="0" borderId="7" xfId="0" applyFont="1" applyBorder="1" applyAlignment="1" applyProtection="1">
      <alignment horizontal="left" vertical="top" wrapText="1"/>
    </xf>
    <xf numFmtId="0" fontId="7" fillId="0" borderId="0" xfId="0" applyFont="1" applyFill="1" applyProtection="1">
      <alignment vertical="center"/>
    </xf>
    <xf numFmtId="0" fontId="25" fillId="0" borderId="0" xfId="0" applyFont="1" applyProtection="1">
      <alignment vertical="center"/>
    </xf>
    <xf numFmtId="0" fontId="2" fillId="0" borderId="0" xfId="0" applyFont="1" applyProtection="1">
      <alignment vertical="center"/>
    </xf>
    <xf numFmtId="0" fontId="25" fillId="0" borderId="0" xfId="0" applyFont="1" applyBorder="1" applyProtection="1">
      <alignment vertical="center"/>
    </xf>
    <xf numFmtId="0" fontId="25" fillId="0" borderId="0" xfId="0" applyFont="1" applyFill="1" applyProtection="1">
      <alignment vertical="center"/>
    </xf>
    <xf numFmtId="0" fontId="3" fillId="0" borderId="1" xfId="0" applyFont="1" applyFill="1" applyBorder="1" applyAlignment="1" applyProtection="1">
      <alignment horizontal="left" vertical="center" indent="1"/>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left" vertical="center" indent="1"/>
    </xf>
    <xf numFmtId="181" fontId="7" fillId="0" borderId="5" xfId="0" applyNumberFormat="1" applyFont="1" applyFill="1" applyBorder="1" applyAlignment="1" applyProtection="1">
      <alignment horizontal="center" vertical="center"/>
    </xf>
    <xf numFmtId="0" fontId="0" fillId="0" borderId="7" xfId="0" applyBorder="1" applyAlignment="1" applyProtection="1">
      <alignment horizontal="left" vertical="top" wrapText="1"/>
    </xf>
    <xf numFmtId="0" fontId="0" fillId="0" borderId="2" xfId="0" applyBorder="1" applyAlignment="1" applyProtection="1">
      <alignment horizontal="left" vertical="top" wrapText="1"/>
    </xf>
    <xf numFmtId="0" fontId="0" fillId="0" borderId="1" xfId="0" applyBorder="1" applyAlignment="1" applyProtection="1">
      <alignment horizontal="left" vertical="top" wrapText="1"/>
    </xf>
    <xf numFmtId="0" fontId="0" fillId="0" borderId="12" xfId="0" applyBorder="1" applyAlignment="1" applyProtection="1">
      <alignment vertical="center" wrapText="1"/>
    </xf>
    <xf numFmtId="0" fontId="5" fillId="0" borderId="4" xfId="0" applyFont="1" applyFill="1" applyBorder="1" applyAlignment="1" applyProtection="1">
      <alignment horizontal="center" vertical="center"/>
    </xf>
    <xf numFmtId="0" fontId="18" fillId="0" borderId="5" xfId="0" applyFont="1" applyBorder="1" applyAlignment="1" applyProtection="1">
      <alignment horizontal="left" vertical="top" wrapText="1"/>
    </xf>
    <xf numFmtId="176" fontId="14" fillId="0" borderId="0" xfId="0" applyNumberFormat="1" applyFont="1" applyFill="1" applyAlignment="1" applyProtection="1">
      <alignment vertical="center" wrapText="1"/>
    </xf>
    <xf numFmtId="176" fontId="14" fillId="0" borderId="0" xfId="0" applyNumberFormat="1" applyFont="1" applyFill="1" applyAlignment="1" applyProtection="1">
      <alignment vertical="center"/>
    </xf>
    <xf numFmtId="0" fontId="3" fillId="2" borderId="1" xfId="0" applyFont="1" applyFill="1" applyBorder="1" applyAlignment="1" applyProtection="1">
      <alignment horizontal="center" vertical="center"/>
      <protection locked="0"/>
    </xf>
    <xf numFmtId="0" fontId="0" fillId="0" borderId="1" xfId="0" applyBorder="1" applyAlignment="1" applyProtection="1">
      <alignment vertical="center"/>
      <protection locked="0"/>
    </xf>
    <xf numFmtId="0" fontId="3" fillId="2" borderId="2" xfId="0" applyFont="1" applyFill="1" applyBorder="1" applyAlignment="1" applyProtection="1">
      <alignment horizontal="center" vertical="center"/>
      <protection locked="0"/>
    </xf>
    <xf numFmtId="0" fontId="0" fillId="0" borderId="2" xfId="0" applyBorder="1" applyAlignment="1" applyProtection="1">
      <alignment vertical="center"/>
      <protection locked="0"/>
    </xf>
    <xf numFmtId="0" fontId="8" fillId="0" borderId="0" xfId="0" applyFont="1" applyAlignment="1" applyProtection="1">
      <alignment horizontal="left" vertical="top" wrapText="1"/>
    </xf>
    <xf numFmtId="0" fontId="7" fillId="0" borderId="0" xfId="0" applyFont="1" applyAlignment="1" applyProtection="1">
      <alignment horizontal="left" vertical="top" wrapText="1"/>
    </xf>
    <xf numFmtId="0" fontId="2" fillId="0" borderId="0" xfId="0" applyNumberFormat="1" applyFont="1" applyFill="1" applyAlignment="1" applyProtection="1">
      <alignment horizontal="left" vertical="center"/>
    </xf>
    <xf numFmtId="0" fontId="8" fillId="0" borderId="3" xfId="0" applyFont="1" applyBorder="1" applyAlignment="1" applyProtection="1">
      <alignment horizontal="left" vertical="top" wrapText="1"/>
    </xf>
    <xf numFmtId="0" fontId="8" fillId="0" borderId="2" xfId="0" applyFont="1" applyBorder="1" applyAlignment="1" applyProtection="1">
      <alignment horizontal="left" vertical="top" wrapText="1"/>
    </xf>
    <xf numFmtId="0" fontId="7" fillId="0" borderId="2" xfId="0" applyFont="1" applyBorder="1" applyAlignment="1" applyProtection="1">
      <alignment horizontal="left" vertical="top" wrapText="1"/>
    </xf>
    <xf numFmtId="0" fontId="0" fillId="0" borderId="2" xfId="0" applyBorder="1" applyAlignment="1" applyProtection="1">
      <alignment horizontal="left" vertical="top" wrapText="1"/>
    </xf>
    <xf numFmtId="0" fontId="8" fillId="0" borderId="4" xfId="0" applyFont="1" applyBorder="1" applyAlignment="1" applyProtection="1">
      <alignment horizontal="left" vertical="top" wrapText="1"/>
    </xf>
    <xf numFmtId="0" fontId="7" fillId="0" borderId="5" xfId="0" applyFont="1" applyBorder="1" applyAlignment="1" applyProtection="1">
      <alignment horizontal="left" vertical="top" wrapText="1"/>
    </xf>
    <xf numFmtId="0" fontId="3" fillId="0" borderId="0" xfId="0" applyNumberFormat="1" applyFont="1" applyFill="1" applyAlignment="1" applyProtection="1">
      <alignment horizontal="left" vertical="center"/>
    </xf>
    <xf numFmtId="0" fontId="3" fillId="0" borderId="0" xfId="0" applyNumberFormat="1" applyFont="1" applyFill="1" applyAlignment="1" applyProtection="1">
      <alignment vertical="center"/>
    </xf>
    <xf numFmtId="0" fontId="4" fillId="0" borderId="9" xfId="0" applyFont="1" applyBorder="1" applyAlignment="1" applyProtection="1">
      <alignment horizontal="right" vertical="center" textRotation="255" wrapText="1"/>
    </xf>
    <xf numFmtId="0" fontId="4" fillId="0" borderId="9" xfId="0" applyFont="1" applyBorder="1" applyAlignment="1" applyProtection="1">
      <alignment horizontal="right" vertical="center" textRotation="255"/>
    </xf>
    <xf numFmtId="0" fontId="10" fillId="0" borderId="6"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7" fillId="0" borderId="5" xfId="0" applyFont="1" applyBorder="1" applyAlignment="1" applyProtection="1">
      <alignment vertical="top"/>
    </xf>
    <xf numFmtId="0" fontId="3" fillId="0" borderId="3" xfId="0" applyFont="1" applyBorder="1" applyAlignment="1" applyProtection="1">
      <alignment horizontal="left" vertical="top" wrapText="1"/>
    </xf>
    <xf numFmtId="0" fontId="0" fillId="0" borderId="4" xfId="0" applyBorder="1" applyAlignment="1" applyProtection="1">
      <alignment horizontal="left" vertical="top" wrapText="1"/>
    </xf>
    <xf numFmtId="0" fontId="3" fillId="0" borderId="5" xfId="0" applyFont="1" applyBorder="1" applyAlignment="1" applyProtection="1">
      <alignment horizontal="left" vertical="top" wrapText="1"/>
    </xf>
    <xf numFmtId="0" fontId="3" fillId="0" borderId="6" xfId="0" applyFont="1" applyBorder="1" applyAlignment="1" applyProtection="1">
      <alignment horizontal="left" vertical="top" wrapText="1"/>
    </xf>
    <xf numFmtId="0" fontId="7" fillId="0" borderId="4" xfId="0" applyFont="1" applyBorder="1" applyAlignment="1" applyProtection="1">
      <alignment horizontal="left" vertical="top" wrapText="1"/>
    </xf>
    <xf numFmtId="0" fontId="3" fillId="0" borderId="2" xfId="0" applyFont="1" applyBorder="1" applyAlignment="1" applyProtection="1">
      <alignment horizontal="left" vertical="top" wrapText="1"/>
    </xf>
    <xf numFmtId="0" fontId="0" fillId="0" borderId="4" xfId="0" applyBorder="1" applyAlignment="1" applyProtection="1">
      <alignment vertical="center" wrapText="1"/>
    </xf>
    <xf numFmtId="0" fontId="16" fillId="0" borderId="3" xfId="0" applyFont="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0" borderId="5"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4" xfId="0" applyBorder="1" applyAlignment="1" applyProtection="1">
      <alignment horizontal="center" vertical="center" wrapText="1"/>
    </xf>
    <xf numFmtId="0" fontId="8" fillId="0" borderId="5" xfId="0" applyFont="1" applyBorder="1" applyAlignment="1" applyProtection="1">
      <alignment horizontal="center" vertical="center" wrapText="1"/>
    </xf>
    <xf numFmtId="0" fontId="10" fillId="0" borderId="5" xfId="0" applyFont="1" applyBorder="1" applyAlignment="1" applyProtection="1">
      <alignment vertical="center"/>
    </xf>
    <xf numFmtId="0" fontId="3" fillId="0" borderId="15" xfId="0" applyFont="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1" xfId="0" applyBorder="1" applyAlignment="1" applyProtection="1">
      <alignment horizontal="center" vertical="center" wrapText="1"/>
    </xf>
    <xf numFmtId="0" fontId="0" fillId="0" borderId="0" xfId="0" applyAlignment="1" applyProtection="1">
      <alignment horizontal="center" vertical="center" wrapText="1"/>
    </xf>
    <xf numFmtId="0" fontId="0" fillId="0" borderId="16" xfId="0" applyBorder="1" applyAlignment="1" applyProtection="1">
      <alignment horizontal="center" vertical="center" wrapText="1"/>
    </xf>
    <xf numFmtId="0" fontId="0" fillId="0" borderId="13" xfId="0"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2" xfId="0" applyBorder="1" applyAlignment="1" applyProtection="1">
      <alignment horizontal="center" vertical="center" wrapText="1"/>
    </xf>
    <xf numFmtId="183" fontId="3" fillId="0" borderId="5" xfId="0" applyNumberFormat="1" applyFont="1" applyBorder="1" applyAlignment="1" applyProtection="1">
      <alignment horizontal="left" vertical="center" wrapText="1"/>
    </xf>
    <xf numFmtId="183" fontId="7" fillId="0" borderId="5" xfId="0" applyNumberFormat="1" applyFont="1" applyBorder="1" applyAlignment="1" applyProtection="1">
      <alignment vertical="center"/>
    </xf>
    <xf numFmtId="0" fontId="5" fillId="0" borderId="11" xfId="0" applyFont="1" applyBorder="1" applyAlignment="1" applyProtection="1">
      <alignment vertical="center"/>
    </xf>
    <xf numFmtId="0" fontId="14" fillId="0" borderId="11" xfId="0" applyNumberFormat="1" applyFont="1" applyBorder="1" applyAlignment="1" applyProtection="1">
      <alignment horizontal="left" vertical="top" wrapText="1"/>
    </xf>
    <xf numFmtId="0" fontId="14" fillId="0" borderId="0" xfId="0" applyNumberFormat="1" applyFont="1" applyAlignment="1" applyProtection="1">
      <alignment horizontal="left" vertical="top" wrapText="1"/>
    </xf>
    <xf numFmtId="0" fontId="8" fillId="0" borderId="0" xfId="0" applyFont="1" applyBorder="1" applyAlignment="1" applyProtection="1">
      <alignment horizontal="right" vertical="top" wrapText="1"/>
    </xf>
    <xf numFmtId="0" fontId="0" fillId="0" borderId="0" xfId="0" applyAlignment="1" applyProtection="1">
      <alignment horizontal="right" vertical="top" wrapText="1"/>
    </xf>
    <xf numFmtId="0" fontId="3" fillId="0" borderId="0" xfId="0" applyFont="1" applyAlignment="1" applyProtection="1">
      <alignment horizontal="left" vertical="top" wrapText="1"/>
    </xf>
    <xf numFmtId="0" fontId="3" fillId="0" borderId="3" xfId="0" applyFont="1" applyBorder="1" applyAlignment="1" applyProtection="1">
      <alignment horizontal="center" vertical="top"/>
    </xf>
    <xf numFmtId="0" fontId="3" fillId="0" borderId="2" xfId="0" applyFont="1" applyBorder="1" applyAlignment="1" applyProtection="1">
      <alignment horizontal="center" vertical="top"/>
    </xf>
    <xf numFmtId="0" fontId="7" fillId="0" borderId="2" xfId="0" applyFont="1" applyBorder="1" applyAlignment="1" applyProtection="1">
      <alignment horizontal="center" vertical="top"/>
    </xf>
    <xf numFmtId="0" fontId="7" fillId="0" borderId="4" xfId="0" applyFont="1" applyBorder="1" applyAlignment="1" applyProtection="1">
      <alignment horizontal="center" vertical="top"/>
    </xf>
    <xf numFmtId="0" fontId="3" fillId="0" borderId="15" xfId="0" applyFont="1" applyBorder="1" applyAlignment="1" applyProtection="1">
      <alignment horizontal="left" vertical="top" wrapText="1"/>
    </xf>
    <xf numFmtId="0" fontId="3" fillId="0" borderId="7" xfId="0" applyFont="1" applyBorder="1" applyAlignment="1" applyProtection="1">
      <alignment horizontal="left" vertical="top" wrapText="1"/>
    </xf>
    <xf numFmtId="0" fontId="7" fillId="0" borderId="7" xfId="0" applyFont="1" applyBorder="1" applyAlignment="1" applyProtection="1">
      <alignment horizontal="left" vertical="top" wrapText="1"/>
    </xf>
    <xf numFmtId="0" fontId="0" fillId="0" borderId="14" xfId="0" applyBorder="1" applyAlignment="1" applyProtection="1">
      <alignment vertical="center" wrapText="1"/>
    </xf>
    <xf numFmtId="182" fontId="4" fillId="2" borderId="1" xfId="0" applyNumberFormat="1" applyFont="1" applyFill="1" applyBorder="1" applyAlignment="1" applyProtection="1">
      <alignment horizontal="left" indent="1"/>
      <protection locked="0"/>
    </xf>
    <xf numFmtId="0" fontId="4" fillId="3" borderId="0" xfId="0" applyFont="1" applyFill="1" applyAlignment="1" applyProtection="1">
      <alignment horizontal="center" vertical="center"/>
    </xf>
    <xf numFmtId="0" fontId="0" fillId="0" borderId="5" xfId="0" applyBorder="1" applyAlignment="1" applyProtection="1">
      <alignment horizontal="left" vertical="top"/>
    </xf>
    <xf numFmtId="0" fontId="14" fillId="0" borderId="11" xfId="0" applyFont="1" applyBorder="1" applyAlignment="1" applyProtection="1">
      <alignment horizontal="left" vertical="top" wrapText="1"/>
    </xf>
    <xf numFmtId="0" fontId="14" fillId="0" borderId="0" xfId="0" applyFont="1" applyAlignment="1" applyProtection="1">
      <alignment horizontal="left" vertical="top" wrapText="1"/>
    </xf>
    <xf numFmtId="0" fontId="3" fillId="0" borderId="0" xfId="0" applyNumberFormat="1" applyFont="1" applyAlignment="1" applyProtection="1">
      <alignment horizontal="left" vertical="top" wrapText="1"/>
    </xf>
    <xf numFmtId="0" fontId="3" fillId="0" borderId="3" xfId="0" applyFont="1" applyBorder="1" applyAlignment="1" applyProtection="1">
      <alignment horizontal="center" vertical="center"/>
    </xf>
    <xf numFmtId="0" fontId="0" fillId="0" borderId="2" xfId="0" applyBorder="1" applyAlignment="1" applyProtection="1">
      <alignment vertical="center"/>
    </xf>
    <xf numFmtId="0" fontId="0" fillId="0" borderId="4" xfId="0" applyBorder="1" applyAlignment="1" applyProtection="1">
      <alignment vertical="center"/>
    </xf>
    <xf numFmtId="0" fontId="17" fillId="0" borderId="5" xfId="0" applyFont="1" applyBorder="1" applyAlignment="1" applyProtection="1">
      <alignment vertical="center" wrapText="1"/>
    </xf>
    <xf numFmtId="0" fontId="0" fillId="0" borderId="5" xfId="0" applyBorder="1" applyAlignment="1" applyProtection="1">
      <alignment vertical="center"/>
    </xf>
    <xf numFmtId="0" fontId="14" fillId="0" borderId="5" xfId="0" applyFont="1" applyBorder="1" applyAlignment="1" applyProtection="1">
      <alignment vertical="center"/>
    </xf>
    <xf numFmtId="0" fontId="18" fillId="0" borderId="3" xfId="0" applyFont="1" applyBorder="1" applyAlignment="1" applyProtection="1">
      <alignment horizontal="left" vertical="top"/>
    </xf>
    <xf numFmtId="0" fontId="14" fillId="0" borderId="5" xfId="0" applyFont="1" applyBorder="1" applyAlignment="1" applyProtection="1">
      <alignment horizontal="left" vertical="top" wrapText="1"/>
    </xf>
  </cellXfs>
  <cellStyles count="3">
    <cellStyle name="桁区切り 2" xfId="1"/>
    <cellStyle name="標準" xfId="0" builtinId="0"/>
    <cellStyle name="標準 2" xfId="2"/>
  </cellStyles>
  <dxfs count="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99CC"/>
        </patternFill>
      </fill>
    </dxf>
    <dxf>
      <fill>
        <patternFill patternType="none">
          <bgColor auto="1"/>
        </patternFill>
      </fill>
    </dxf>
  </dxfs>
  <tableStyles count="0" defaultTableStyle="TableStyleMedium2"/>
  <colors>
    <mruColors>
      <color rgb="FF0000FF"/>
      <color rgb="FFFF99CC"/>
      <color rgb="FFFF93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440100</xdr:colOff>
      <xdr:row>68</xdr:row>
      <xdr:rowOff>114300</xdr:rowOff>
    </xdr:from>
    <xdr:to>
      <xdr:col>6</xdr:col>
      <xdr:colOff>800100</xdr:colOff>
      <xdr:row>69</xdr:row>
      <xdr:rowOff>104775</xdr:rowOff>
    </xdr:to>
    <xdr:sp macro="" textlink="">
      <xdr:nvSpPr>
        <xdr:cNvPr id="2" name="右矢印 1"/>
        <xdr:cNvSpPr/>
      </xdr:nvSpPr>
      <xdr:spPr>
        <a:xfrm>
          <a:off x="5783625" y="21650325"/>
          <a:ext cx="360000" cy="371475"/>
        </a:xfrm>
        <a:prstGeom prst="rightArrow">
          <a:avLst/>
        </a:prstGeom>
        <a:solidFill>
          <a:schemeClr val="bg2">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60"/>
  <sheetViews>
    <sheetView showZeros="0" tabSelected="1" zoomScaleNormal="100" workbookViewId="0">
      <selection activeCell="N11" sqref="N11"/>
    </sheetView>
  </sheetViews>
  <sheetFormatPr defaultColWidth="9" defaultRowHeight="13.5"/>
  <cols>
    <col min="1" max="1" width="2.875" style="11" customWidth="1"/>
    <col min="2" max="2" width="17.75" style="11" customWidth="1"/>
    <col min="3" max="4" width="3.125" style="11" customWidth="1"/>
    <col min="5" max="5" width="29" style="11" customWidth="1"/>
    <col min="6" max="6" width="14.25" style="11" customWidth="1"/>
    <col min="7" max="7" width="16.75" style="11" customWidth="1"/>
    <col min="8" max="8" width="13.875" style="11" customWidth="1"/>
    <col min="9" max="9" width="4.875" style="8" customWidth="1"/>
    <col min="10" max="10" width="4.125" style="2" customWidth="1"/>
    <col min="11" max="12" width="9" style="8" hidden="1" customWidth="1"/>
    <col min="13" max="13" width="4.125" style="2" customWidth="1"/>
    <col min="14" max="17" width="9" style="114"/>
    <col min="18" max="16384" width="9" style="2"/>
  </cols>
  <sheetData>
    <row r="1" spans="1:14" ht="19.5" customHeight="1">
      <c r="A1" s="11" t="s">
        <v>147</v>
      </c>
      <c r="G1" s="70" t="s">
        <v>146</v>
      </c>
      <c r="H1" s="191"/>
      <c r="I1" s="191"/>
      <c r="K1" s="192" t="s">
        <v>145</v>
      </c>
      <c r="L1" s="192"/>
    </row>
    <row r="2" spans="1:14" ht="23.25" customHeight="1">
      <c r="A2" s="69" t="s">
        <v>174</v>
      </c>
      <c r="B2" s="69"/>
      <c r="C2" s="68"/>
      <c r="D2" s="68"/>
      <c r="E2" s="68"/>
      <c r="F2" s="68"/>
      <c r="G2" s="68"/>
      <c r="H2" s="67"/>
      <c r="I2" s="67"/>
      <c r="K2" s="30"/>
      <c r="L2" s="30"/>
    </row>
    <row r="3" spans="1:14" ht="6" customHeight="1">
      <c r="A3" s="69"/>
      <c r="B3" s="69"/>
      <c r="C3" s="68"/>
      <c r="D3" s="68"/>
      <c r="E3" s="68"/>
      <c r="F3" s="68"/>
      <c r="G3" s="68"/>
      <c r="H3" s="67"/>
      <c r="I3" s="67"/>
      <c r="K3" s="30"/>
      <c r="L3" s="30"/>
    </row>
    <row r="4" spans="1:14" ht="16.5" customHeight="1">
      <c r="A4" s="118"/>
      <c r="B4" s="118"/>
      <c r="C4" s="119" t="s">
        <v>143</v>
      </c>
      <c r="D4" s="130"/>
      <c r="E4" s="131"/>
      <c r="F4" s="131"/>
      <c r="G4" s="68"/>
      <c r="H4" s="67"/>
      <c r="I4" s="67"/>
      <c r="K4" s="30"/>
      <c r="L4" s="30"/>
    </row>
    <row r="5" spans="1:14" ht="16.5" customHeight="1">
      <c r="A5" s="120" t="s">
        <v>144</v>
      </c>
      <c r="B5" s="118"/>
      <c r="C5" s="119" t="s">
        <v>143</v>
      </c>
      <c r="D5" s="132"/>
      <c r="E5" s="133"/>
      <c r="F5" s="133"/>
      <c r="G5" s="68"/>
      <c r="H5" s="67"/>
      <c r="I5" s="67"/>
      <c r="K5" s="30"/>
      <c r="L5" s="30"/>
    </row>
    <row r="6" spans="1:14" ht="6" customHeight="1">
      <c r="A6" s="66"/>
      <c r="B6" s="66"/>
      <c r="C6" s="66"/>
      <c r="D6" s="66"/>
      <c r="E6" s="66"/>
      <c r="F6" s="66"/>
      <c r="G6" s="66"/>
      <c r="H6" s="8"/>
      <c r="K6" s="30"/>
      <c r="L6" s="30"/>
    </row>
    <row r="7" spans="1:14">
      <c r="A7" s="11" t="s">
        <v>180</v>
      </c>
      <c r="K7" s="30"/>
      <c r="L7" s="30"/>
    </row>
    <row r="8" spans="1:14">
      <c r="K8" s="30"/>
      <c r="L8" s="30"/>
    </row>
    <row r="9" spans="1:14" ht="15" customHeight="1">
      <c r="A9" s="65" t="s">
        <v>142</v>
      </c>
      <c r="B9" s="65"/>
      <c r="C9" s="65"/>
      <c r="D9" s="65"/>
      <c r="E9" s="65"/>
      <c r="F9" s="65"/>
      <c r="G9" s="93" t="s">
        <v>170</v>
      </c>
      <c r="H9" s="81"/>
      <c r="K9" s="30" t="str">
        <f>IF(H9=1,"第1号","第6号")</f>
        <v>第6号</v>
      </c>
      <c r="L9" s="102" t="s">
        <v>141</v>
      </c>
    </row>
    <row r="10" spans="1:14" ht="15" customHeight="1">
      <c r="A10" s="65" t="s">
        <v>140</v>
      </c>
      <c r="B10" s="65"/>
      <c r="C10" s="65"/>
      <c r="D10" s="65"/>
      <c r="E10" s="65"/>
      <c r="F10" s="65"/>
      <c r="G10" s="93" t="s">
        <v>170</v>
      </c>
      <c r="H10" s="81"/>
      <c r="K10" s="30"/>
      <c r="L10" s="102">
        <v>1</v>
      </c>
      <c r="N10" s="115"/>
    </row>
    <row r="11" spans="1:14">
      <c r="K11" s="30"/>
      <c r="L11" s="102">
        <v>2</v>
      </c>
    </row>
    <row r="12" spans="1:14">
      <c r="A12" s="41" t="s">
        <v>139</v>
      </c>
      <c r="B12" s="41"/>
      <c r="C12" s="41"/>
      <c r="D12" s="41"/>
      <c r="K12" s="30"/>
      <c r="L12" s="102" t="s">
        <v>138</v>
      </c>
    </row>
    <row r="13" spans="1:14">
      <c r="A13" s="11" t="s">
        <v>137</v>
      </c>
      <c r="K13" s="30"/>
      <c r="L13" s="102">
        <v>3</v>
      </c>
    </row>
    <row r="14" spans="1:14">
      <c r="E14" s="41" t="s">
        <v>136</v>
      </c>
      <c r="G14" s="1"/>
      <c r="H14" s="1"/>
      <c r="I14" s="8" t="s">
        <v>1</v>
      </c>
      <c r="K14" s="30">
        <v>1</v>
      </c>
      <c r="L14" s="30">
        <v>1</v>
      </c>
    </row>
    <row r="15" spans="1:14" ht="36" customHeight="1">
      <c r="A15" s="152" t="s">
        <v>135</v>
      </c>
      <c r="B15" s="193"/>
      <c r="C15" s="193"/>
      <c r="D15" s="193"/>
      <c r="E15" s="64"/>
      <c r="F15" s="194" t="s">
        <v>152</v>
      </c>
      <c r="G15" s="195"/>
      <c r="H15" s="195"/>
      <c r="I15" s="10" t="s">
        <v>0</v>
      </c>
      <c r="K15" s="30">
        <v>6</v>
      </c>
      <c r="L15" s="30">
        <v>2</v>
      </c>
    </row>
    <row r="16" spans="1:14" ht="16.5" customHeight="1">
      <c r="A16" s="152" t="s">
        <v>134</v>
      </c>
      <c r="B16" s="193"/>
      <c r="C16" s="193"/>
      <c r="D16" s="193"/>
      <c r="E16" s="64"/>
      <c r="F16" s="39" t="s">
        <v>131</v>
      </c>
      <c r="G16" s="1"/>
      <c r="H16" s="1"/>
      <c r="I16" s="10" t="s">
        <v>133</v>
      </c>
      <c r="K16" s="30"/>
      <c r="L16" s="30">
        <v>3</v>
      </c>
    </row>
    <row r="17" spans="1:14" ht="33" customHeight="1">
      <c r="A17" s="152" t="s">
        <v>132</v>
      </c>
      <c r="B17" s="193"/>
      <c r="C17" s="193"/>
      <c r="D17" s="193"/>
      <c r="E17" s="64"/>
      <c r="F17" s="39" t="s">
        <v>131</v>
      </c>
      <c r="G17" s="1"/>
      <c r="H17" s="1"/>
      <c r="I17" s="10" t="s">
        <v>130</v>
      </c>
      <c r="K17" s="30"/>
      <c r="L17" s="30"/>
    </row>
    <row r="18" spans="1:14" ht="16.5" customHeight="1">
      <c r="A18" s="152" t="s">
        <v>129</v>
      </c>
      <c r="B18" s="193"/>
      <c r="C18" s="193"/>
      <c r="D18" s="193"/>
      <c r="E18" s="121">
        <f>IF(E16=0,0,E15/E16)</f>
        <v>0</v>
      </c>
      <c r="F18" s="39" t="s">
        <v>128</v>
      </c>
      <c r="G18" s="1"/>
      <c r="H18" s="1"/>
      <c r="I18" s="10" t="s">
        <v>5</v>
      </c>
      <c r="K18" s="30"/>
      <c r="L18" s="30"/>
    </row>
    <row r="19" spans="1:14" ht="34.5" customHeight="1">
      <c r="A19" s="152" t="s">
        <v>127</v>
      </c>
      <c r="B19" s="193"/>
      <c r="C19" s="193"/>
      <c r="D19" s="193"/>
      <c r="E19" s="63" t="str">
        <f>IF(E18=0,"",IF(E18&lt;2,"業務用産業用","家庭用"))</f>
        <v/>
      </c>
      <c r="F19" s="194" t="s">
        <v>151</v>
      </c>
      <c r="G19" s="195"/>
      <c r="H19" s="195"/>
      <c r="I19" s="10" t="s">
        <v>126</v>
      </c>
      <c r="K19" s="62">
        <f>IF(E19="家庭用",10,0)</f>
        <v>0</v>
      </c>
      <c r="L19" s="61" t="s">
        <v>125</v>
      </c>
    </row>
    <row r="20" spans="1:14" ht="26.25" customHeight="1">
      <c r="A20" s="152" t="s">
        <v>178</v>
      </c>
      <c r="B20" s="193"/>
      <c r="C20" s="193"/>
      <c r="D20" s="193"/>
      <c r="E20" s="85"/>
      <c r="F20" s="178" t="s">
        <v>168</v>
      </c>
      <c r="G20" s="179"/>
      <c r="H20" s="179"/>
      <c r="I20" s="10" t="s">
        <v>124</v>
      </c>
      <c r="K20" s="84" t="str">
        <f>IF(E20&lt;&gt;"",IF(E19="家庭用",IF(E20&lt;&gt;"10年",IF(E20&lt;&gt;"11年",IF(E20&lt;&gt;"12年",IF(E20&lt;&gt;"13年",IF(E20&lt;&gt;"14年",IF(E20&lt;&gt;"15年以上","ERROR","OK"),"OK"),"OK"),"OK"),"OK"),"OK"),"OK"),"OK")</f>
        <v>OK</v>
      </c>
      <c r="L20" s="30"/>
      <c r="N20" s="115"/>
    </row>
    <row r="21" spans="1:14">
      <c r="N21" s="115"/>
    </row>
    <row r="22" spans="1:14">
      <c r="A22" s="41" t="s">
        <v>123</v>
      </c>
      <c r="B22" s="41"/>
      <c r="C22" s="41"/>
      <c r="D22" s="41"/>
      <c r="K22" s="30"/>
      <c r="L22" s="30"/>
      <c r="N22" s="115"/>
    </row>
    <row r="23" spans="1:14" ht="25.5" customHeight="1">
      <c r="A23" s="196" t="s">
        <v>122</v>
      </c>
      <c r="B23" s="196"/>
      <c r="C23" s="196"/>
      <c r="D23" s="196"/>
      <c r="E23" s="196"/>
      <c r="F23" s="196"/>
      <c r="G23" s="196"/>
      <c r="H23" s="196"/>
      <c r="K23" s="30"/>
      <c r="L23" s="30"/>
    </row>
    <row r="24" spans="1:14" ht="30" customHeight="1">
      <c r="A24" s="197" t="s">
        <v>2</v>
      </c>
      <c r="B24" s="198"/>
      <c r="C24" s="198"/>
      <c r="D24" s="199"/>
      <c r="E24" s="109" t="s">
        <v>121</v>
      </c>
      <c r="F24" s="3" t="s">
        <v>120</v>
      </c>
      <c r="G24" s="99" t="s">
        <v>119</v>
      </c>
      <c r="H24" s="99" t="s">
        <v>118</v>
      </c>
      <c r="K24" s="30"/>
      <c r="L24" s="30"/>
    </row>
    <row r="25" spans="1:14" ht="20.25" customHeight="1">
      <c r="A25" s="200" t="s">
        <v>167</v>
      </c>
      <c r="B25" s="201"/>
      <c r="C25" s="201"/>
      <c r="D25" s="201"/>
      <c r="E25" s="98" t="s">
        <v>117</v>
      </c>
      <c r="F25" s="92"/>
      <c r="G25" s="59"/>
      <c r="H25" s="58">
        <f>ROUNDDOWN(G25,0)</f>
        <v>0</v>
      </c>
      <c r="K25" s="30"/>
      <c r="L25" s="30"/>
    </row>
    <row r="26" spans="1:14" ht="20.25" customHeight="1">
      <c r="A26" s="200"/>
      <c r="B26" s="201"/>
      <c r="C26" s="201"/>
      <c r="D26" s="201"/>
      <c r="E26" s="203" t="s">
        <v>116</v>
      </c>
      <c r="F26" s="198"/>
      <c r="G26" s="198"/>
      <c r="H26" s="199"/>
      <c r="K26" s="30" t="s">
        <v>115</v>
      </c>
      <c r="L26" s="30"/>
    </row>
    <row r="27" spans="1:14" ht="20.25" customHeight="1">
      <c r="A27" s="202"/>
      <c r="B27" s="201"/>
      <c r="C27" s="201"/>
      <c r="D27" s="201"/>
      <c r="E27" s="78" t="s">
        <v>114</v>
      </c>
      <c r="F27" s="92"/>
      <c r="G27" s="59"/>
      <c r="H27" s="58">
        <f>ROUNDDOWN(G27,0)</f>
        <v>0</v>
      </c>
      <c r="K27" s="30" t="s">
        <v>113</v>
      </c>
      <c r="L27" s="30"/>
    </row>
    <row r="28" spans="1:14" ht="25.5" customHeight="1">
      <c r="A28" s="202"/>
      <c r="B28" s="201"/>
      <c r="C28" s="201"/>
      <c r="D28" s="201"/>
      <c r="E28" s="79" t="s">
        <v>112</v>
      </c>
      <c r="F28" s="92"/>
      <c r="G28" s="59"/>
      <c r="H28" s="58">
        <f>ROUNDDOWN(G28,0)</f>
        <v>0</v>
      </c>
      <c r="K28" s="30" t="s">
        <v>111</v>
      </c>
      <c r="L28" s="30"/>
      <c r="N28" s="115"/>
    </row>
    <row r="29" spans="1:14" ht="48" customHeight="1">
      <c r="A29" s="202"/>
      <c r="B29" s="201"/>
      <c r="C29" s="201"/>
      <c r="D29" s="201"/>
      <c r="E29" s="80" t="s">
        <v>148</v>
      </c>
      <c r="F29" s="92"/>
      <c r="G29" s="59"/>
      <c r="H29" s="58">
        <f>IF((G29-E17*10000)&lt;0,0,ROUNDDOWN((G29-E17*10000),0))</f>
        <v>0</v>
      </c>
      <c r="K29" s="30"/>
      <c r="L29" s="30"/>
    </row>
    <row r="30" spans="1:14" ht="20.25" customHeight="1">
      <c r="A30" s="202"/>
      <c r="B30" s="201"/>
      <c r="C30" s="201"/>
      <c r="D30" s="201"/>
      <c r="E30" s="98" t="s">
        <v>110</v>
      </c>
      <c r="F30" s="92"/>
      <c r="G30" s="59"/>
      <c r="H30" s="58">
        <f>ROUNDDOWN(G30,0)</f>
        <v>0</v>
      </c>
      <c r="I30" s="60"/>
      <c r="K30" s="30"/>
      <c r="L30" s="30"/>
    </row>
    <row r="31" spans="1:14" ht="20.25" customHeight="1">
      <c r="A31" s="202"/>
      <c r="B31" s="201"/>
      <c r="C31" s="201"/>
      <c r="D31" s="201"/>
      <c r="E31" s="98" t="s">
        <v>109</v>
      </c>
      <c r="F31" s="92"/>
      <c r="G31" s="59"/>
      <c r="H31" s="58">
        <f t="shared" ref="H31:H33" si="0">ROUNDDOWN(G31,0)</f>
        <v>0</v>
      </c>
      <c r="I31" s="60"/>
      <c r="K31" s="30"/>
      <c r="L31" s="30"/>
    </row>
    <row r="32" spans="1:14" ht="20.25" customHeight="1">
      <c r="A32" s="204" t="s">
        <v>108</v>
      </c>
      <c r="B32" s="193"/>
      <c r="C32" s="193"/>
      <c r="D32" s="193"/>
      <c r="E32" s="127" t="s">
        <v>4</v>
      </c>
      <c r="F32" s="92"/>
      <c r="G32" s="59"/>
      <c r="H32" s="58">
        <f t="shared" si="0"/>
        <v>0</v>
      </c>
      <c r="K32" s="30"/>
      <c r="L32" s="30"/>
    </row>
    <row r="33" spans="1:17" ht="20.25" customHeight="1" thickBot="1">
      <c r="A33" s="204"/>
      <c r="B33" s="193"/>
      <c r="C33" s="193"/>
      <c r="D33" s="193"/>
      <c r="E33" s="100" t="s">
        <v>107</v>
      </c>
      <c r="F33" s="92"/>
      <c r="G33" s="59"/>
      <c r="H33" s="58">
        <f t="shared" si="0"/>
        <v>0</v>
      </c>
      <c r="K33" s="30"/>
      <c r="L33" s="30"/>
    </row>
    <row r="34" spans="1:17" ht="23.25" thickBot="1">
      <c r="A34" s="5"/>
      <c r="B34" s="5"/>
      <c r="C34" s="5"/>
      <c r="D34" s="5"/>
      <c r="E34" s="56" t="s">
        <v>106</v>
      </c>
      <c r="F34" s="55">
        <f>SUM(H25:H31)</f>
        <v>0</v>
      </c>
      <c r="G34" s="57" t="s">
        <v>105</v>
      </c>
      <c r="H34" s="39" t="s">
        <v>98</v>
      </c>
      <c r="I34" s="10" t="s">
        <v>104</v>
      </c>
      <c r="K34" s="30"/>
      <c r="L34" s="30"/>
    </row>
    <row r="35" spans="1:17" ht="21.95" customHeight="1" thickBot="1">
      <c r="A35" s="5"/>
      <c r="B35" s="5"/>
      <c r="C35" s="5"/>
      <c r="D35" s="5"/>
      <c r="E35" s="56" t="s">
        <v>103</v>
      </c>
      <c r="F35" s="55">
        <f>SUM(H32:H33)</f>
        <v>0</v>
      </c>
      <c r="G35" s="57" t="s">
        <v>102</v>
      </c>
      <c r="H35" s="39" t="s">
        <v>98</v>
      </c>
      <c r="I35" s="10" t="s">
        <v>101</v>
      </c>
      <c r="K35" s="30"/>
      <c r="L35" s="30"/>
    </row>
    <row r="36" spans="1:17" ht="22.5" thickBot="1">
      <c r="A36" s="180" t="s">
        <v>162</v>
      </c>
      <c r="B36" s="180"/>
      <c r="C36" s="181"/>
      <c r="D36" s="181"/>
      <c r="E36" s="56" t="s">
        <v>100</v>
      </c>
      <c r="F36" s="55">
        <f>IF(E15=0,0,IF(E19="家庭用",ROUNDDOWN(F34/E15,0),"　　　　　　　－"))</f>
        <v>0</v>
      </c>
      <c r="G36" s="54" t="s">
        <v>99</v>
      </c>
      <c r="H36" s="39" t="s">
        <v>98</v>
      </c>
      <c r="I36" s="10" t="s">
        <v>97</v>
      </c>
      <c r="K36" s="30"/>
      <c r="L36" s="30"/>
    </row>
    <row r="37" spans="1:17" ht="22.5" thickBot="1">
      <c r="A37" s="180" t="s">
        <v>163</v>
      </c>
      <c r="B37" s="180"/>
      <c r="C37" s="181"/>
      <c r="D37" s="181"/>
      <c r="E37" s="56" t="s">
        <v>164</v>
      </c>
      <c r="F37" s="55">
        <f>IF(E16=0,0,IF(E19="業務用産業用",ROUNDDOWN(F34/E16,0),"　　　　　　　－"))</f>
        <v>0</v>
      </c>
      <c r="G37" s="54" t="s">
        <v>150</v>
      </c>
      <c r="H37" s="39" t="s">
        <v>98</v>
      </c>
      <c r="I37" s="10" t="s">
        <v>149</v>
      </c>
      <c r="K37" s="30"/>
      <c r="L37" s="30"/>
      <c r="N37" s="115"/>
    </row>
    <row r="38" spans="1:17" ht="10.5" customHeight="1">
      <c r="E38" s="52"/>
      <c r="F38" s="53"/>
      <c r="K38" s="30"/>
      <c r="L38" s="30"/>
    </row>
    <row r="39" spans="1:17">
      <c r="A39" s="41" t="s">
        <v>96</v>
      </c>
      <c r="B39" s="41"/>
      <c r="C39" s="41"/>
      <c r="D39" s="41"/>
      <c r="E39" s="52"/>
      <c r="K39" s="30"/>
      <c r="L39" s="30"/>
    </row>
    <row r="40" spans="1:17" ht="25.5" customHeight="1">
      <c r="A40" s="182" t="s">
        <v>95</v>
      </c>
      <c r="B40" s="182"/>
      <c r="C40" s="182"/>
      <c r="D40" s="182"/>
      <c r="E40" s="135"/>
      <c r="F40" s="135"/>
      <c r="G40" s="135"/>
      <c r="K40" s="30"/>
      <c r="L40" s="30"/>
    </row>
    <row r="41" spans="1:17" ht="7.5" customHeight="1">
      <c r="E41" s="52"/>
      <c r="K41" s="30"/>
      <c r="L41" s="30"/>
    </row>
    <row r="42" spans="1:17" ht="20.25" customHeight="1">
      <c r="A42" s="183" t="s">
        <v>3</v>
      </c>
      <c r="B42" s="184"/>
      <c r="C42" s="184"/>
      <c r="D42" s="184"/>
      <c r="E42" s="185"/>
      <c r="F42" s="185"/>
      <c r="G42" s="186"/>
      <c r="H42" s="51" t="s">
        <v>94</v>
      </c>
      <c r="K42" s="30"/>
      <c r="L42" s="30"/>
    </row>
    <row r="43" spans="1:17" ht="20.25" customHeight="1">
      <c r="A43" s="50" t="s">
        <v>93</v>
      </c>
      <c r="B43" s="48"/>
      <c r="C43" s="48"/>
      <c r="D43" s="48"/>
      <c r="E43" s="48"/>
      <c r="F43" s="48"/>
      <c r="G43" s="94" t="s">
        <v>170</v>
      </c>
      <c r="H43" s="82"/>
      <c r="K43" s="91">
        <f>IF(H43="○",1,0)</f>
        <v>0</v>
      </c>
      <c r="L43" s="102" t="s">
        <v>92</v>
      </c>
    </row>
    <row r="44" spans="1:17" ht="20.25" customHeight="1">
      <c r="A44" s="50" t="s">
        <v>91</v>
      </c>
      <c r="B44" s="48"/>
      <c r="C44" s="48"/>
      <c r="D44" s="48"/>
      <c r="E44" s="48"/>
      <c r="F44" s="48"/>
      <c r="G44" s="94" t="s">
        <v>170</v>
      </c>
      <c r="H44" s="82"/>
      <c r="K44" s="91">
        <f>IF(H44="○",1,0)</f>
        <v>0</v>
      </c>
      <c r="L44" s="102" t="s">
        <v>90</v>
      </c>
    </row>
    <row r="45" spans="1:17" ht="20.25" customHeight="1">
      <c r="A45" s="71" t="s">
        <v>89</v>
      </c>
      <c r="B45" s="49"/>
      <c r="C45" s="49"/>
      <c r="D45" s="49"/>
      <c r="E45" s="48"/>
      <c r="F45" s="48"/>
      <c r="G45" s="94" t="s">
        <v>170</v>
      </c>
      <c r="H45" s="82"/>
      <c r="K45" s="91">
        <f>IF(H45="○",1,0)</f>
        <v>0</v>
      </c>
      <c r="L45" s="30"/>
    </row>
    <row r="46" spans="1:17" s="75" customFormat="1" ht="87" customHeight="1">
      <c r="A46" s="187" t="s">
        <v>165</v>
      </c>
      <c r="B46" s="188"/>
      <c r="C46" s="188"/>
      <c r="D46" s="188"/>
      <c r="E46" s="189"/>
      <c r="F46" s="189"/>
      <c r="G46" s="189"/>
      <c r="H46" s="190"/>
      <c r="I46" s="9"/>
      <c r="K46" s="76"/>
      <c r="L46" s="76"/>
      <c r="N46" s="115"/>
      <c r="O46" s="116"/>
      <c r="P46" s="116"/>
      <c r="Q46" s="116"/>
    </row>
    <row r="47" spans="1:17">
      <c r="A47" s="87"/>
      <c r="B47" s="161" t="s">
        <v>88</v>
      </c>
      <c r="C47" s="162"/>
      <c r="D47" s="163"/>
      <c r="E47" s="46" t="s">
        <v>87</v>
      </c>
      <c r="F47" s="164" t="s">
        <v>86</v>
      </c>
      <c r="G47" s="165"/>
      <c r="H47" s="106" t="s">
        <v>85</v>
      </c>
      <c r="I47" s="47"/>
      <c r="K47" s="30"/>
      <c r="L47" s="30"/>
    </row>
    <row r="48" spans="1:17" ht="15" customHeight="1">
      <c r="A48" s="87"/>
      <c r="B48" s="166" t="s">
        <v>84</v>
      </c>
      <c r="C48" s="167"/>
      <c r="D48" s="168"/>
      <c r="E48" s="46" t="s">
        <v>83</v>
      </c>
      <c r="F48" s="175" t="s">
        <v>155</v>
      </c>
      <c r="G48" s="176"/>
      <c r="H48" s="77" t="str">
        <f>IF($E$19="家庭用",IF(E$20="無","",IF(E$20="10年","該当","")),"")</f>
        <v/>
      </c>
      <c r="I48" s="177" t="s">
        <v>82</v>
      </c>
      <c r="K48" s="30">
        <f>IF(H48="該当",1,0)</f>
        <v>0</v>
      </c>
      <c r="L48" s="45">
        <v>150000</v>
      </c>
    </row>
    <row r="49" spans="1:14" ht="13.5" customHeight="1">
      <c r="A49" s="72"/>
      <c r="B49" s="169"/>
      <c r="C49" s="170"/>
      <c r="D49" s="171"/>
      <c r="E49" s="46" t="s">
        <v>81</v>
      </c>
      <c r="F49" s="175" t="s">
        <v>156</v>
      </c>
      <c r="G49" s="176"/>
      <c r="H49" s="77" t="str">
        <f>IF($E$19="家庭用",IF(E$20="無","",IF(E$20="11年","該当","")),"")</f>
        <v/>
      </c>
      <c r="I49" s="177"/>
      <c r="K49" s="30">
        <f t="shared" ref="K49:K54" si="1">IF(H49="該当",1,0)</f>
        <v>0</v>
      </c>
      <c r="L49" s="45">
        <v>165000</v>
      </c>
    </row>
    <row r="50" spans="1:14" ht="13.5" customHeight="1">
      <c r="A50" s="72"/>
      <c r="B50" s="169"/>
      <c r="C50" s="170"/>
      <c r="D50" s="171"/>
      <c r="E50" s="46" t="s">
        <v>80</v>
      </c>
      <c r="F50" s="175" t="s">
        <v>157</v>
      </c>
      <c r="G50" s="176"/>
      <c r="H50" s="77" t="str">
        <f>IF($E$19="家庭用",IF(E$20="無","",IF(E$20="12年","該当","")),"")</f>
        <v/>
      </c>
      <c r="I50" s="177"/>
      <c r="K50" s="30">
        <f t="shared" si="1"/>
        <v>0</v>
      </c>
      <c r="L50" s="45">
        <v>180000</v>
      </c>
    </row>
    <row r="51" spans="1:14" ht="13.5" customHeight="1">
      <c r="A51" s="72"/>
      <c r="B51" s="169"/>
      <c r="C51" s="170"/>
      <c r="D51" s="171"/>
      <c r="E51" s="46" t="s">
        <v>79</v>
      </c>
      <c r="F51" s="175" t="s">
        <v>158</v>
      </c>
      <c r="G51" s="176"/>
      <c r="H51" s="77" t="str">
        <f>IF($E$19="家庭用",IF(E$20="無","",IF(E$20="13年","該当","")),"")</f>
        <v/>
      </c>
      <c r="I51" s="177"/>
      <c r="K51" s="30">
        <f t="shared" si="1"/>
        <v>0</v>
      </c>
      <c r="L51" s="45">
        <v>195000</v>
      </c>
    </row>
    <row r="52" spans="1:14" ht="13.5" customHeight="1">
      <c r="A52" s="72"/>
      <c r="B52" s="169"/>
      <c r="C52" s="170"/>
      <c r="D52" s="171"/>
      <c r="E52" s="46" t="s">
        <v>78</v>
      </c>
      <c r="F52" s="175" t="s">
        <v>159</v>
      </c>
      <c r="G52" s="176"/>
      <c r="H52" s="77" t="str">
        <f>IF($E$19="家庭用",IF(E$20="無","",IF(E$20="14年","該当","")),"")</f>
        <v/>
      </c>
      <c r="I52" s="177"/>
      <c r="K52" s="30">
        <f t="shared" si="1"/>
        <v>0</v>
      </c>
      <c r="L52" s="45">
        <v>210000</v>
      </c>
    </row>
    <row r="53" spans="1:14" ht="13.5" customHeight="1">
      <c r="A53" s="72"/>
      <c r="B53" s="172"/>
      <c r="C53" s="173"/>
      <c r="D53" s="174"/>
      <c r="E53" s="46" t="s">
        <v>77</v>
      </c>
      <c r="F53" s="175" t="s">
        <v>160</v>
      </c>
      <c r="G53" s="176"/>
      <c r="H53" s="77" t="str">
        <f>IF($E$19="家庭用",IF(E$20="無","",IF(E$20="15年以上","該当","")),"")</f>
        <v/>
      </c>
      <c r="I53" s="177"/>
      <c r="K53" s="30">
        <f t="shared" si="1"/>
        <v>0</v>
      </c>
      <c r="L53" s="45">
        <v>225000</v>
      </c>
      <c r="N53" s="115"/>
    </row>
    <row r="54" spans="1:14" ht="13.5" customHeight="1">
      <c r="A54" s="87"/>
      <c r="B54" s="161" t="s">
        <v>76</v>
      </c>
      <c r="C54" s="162"/>
      <c r="D54" s="163"/>
      <c r="E54" s="46" t="s">
        <v>75</v>
      </c>
      <c r="F54" s="175" t="s">
        <v>154</v>
      </c>
      <c r="G54" s="176"/>
      <c r="H54" s="77" t="str">
        <f>IF($E$19="業務用産業用","該当","")</f>
        <v/>
      </c>
      <c r="I54" s="177"/>
      <c r="K54" s="30">
        <f t="shared" si="1"/>
        <v>0</v>
      </c>
      <c r="L54" s="45">
        <v>250000</v>
      </c>
    </row>
    <row r="55" spans="1:14" ht="33" customHeight="1">
      <c r="A55" s="88"/>
      <c r="B55" s="150" t="s">
        <v>166</v>
      </c>
      <c r="C55" s="140"/>
      <c r="D55" s="140"/>
      <c r="E55" s="150" t="s">
        <v>153</v>
      </c>
      <c r="F55" s="139"/>
      <c r="G55" s="154"/>
      <c r="H55" s="83" t="str">
        <f>IF(F36=0,"",IF(E19="","",IF(E19="家庭用",IF(F36&lt;=L55,"○","×"),IF(F37&lt;=L55,"○","×"))))</f>
        <v/>
      </c>
      <c r="I55" s="43"/>
      <c r="K55" s="91">
        <f t="shared" ref="K55" si="2">IF(H55="○",1,0)</f>
        <v>0</v>
      </c>
      <c r="L55" s="45">
        <f>SUM(K48*L48+K49*L49+K50*L50+K51*L51+K52*L52+K53*L53+K54*L54)</f>
        <v>0</v>
      </c>
      <c r="N55" s="115"/>
    </row>
    <row r="56" spans="1:14" ht="9" customHeight="1">
      <c r="A56" s="89"/>
      <c r="B56" s="111"/>
      <c r="C56" s="122"/>
      <c r="D56" s="123"/>
      <c r="E56" s="111"/>
      <c r="F56" s="112"/>
      <c r="G56" s="112"/>
      <c r="H56" s="86"/>
      <c r="I56" s="43"/>
      <c r="K56" s="30"/>
      <c r="L56" s="45"/>
    </row>
    <row r="57" spans="1:14" ht="42" customHeight="1">
      <c r="A57" s="150" t="s">
        <v>179</v>
      </c>
      <c r="B57" s="155"/>
      <c r="C57" s="139"/>
      <c r="D57" s="151"/>
      <c r="E57" s="150" t="s">
        <v>161</v>
      </c>
      <c r="F57" s="139"/>
      <c r="G57" s="139"/>
      <c r="H57" s="156"/>
      <c r="I57" s="43" t="s">
        <v>1</v>
      </c>
      <c r="K57" s="30"/>
      <c r="L57" s="30"/>
    </row>
    <row r="58" spans="1:14" ht="6.75" customHeight="1">
      <c r="A58" s="110"/>
      <c r="B58" s="73"/>
      <c r="C58" s="74"/>
      <c r="D58" s="124"/>
      <c r="E58" s="73"/>
      <c r="F58" s="74"/>
      <c r="G58" s="74"/>
      <c r="H58" s="125"/>
      <c r="I58" s="43"/>
      <c r="K58" s="30"/>
      <c r="L58" s="30"/>
    </row>
    <row r="59" spans="1:14" ht="17.25" customHeight="1">
      <c r="A59" s="88"/>
      <c r="B59" s="157" t="s">
        <v>3</v>
      </c>
      <c r="C59" s="158"/>
      <c r="D59" s="159"/>
      <c r="E59" s="160" t="s">
        <v>74</v>
      </c>
      <c r="F59" s="160"/>
      <c r="G59" s="160"/>
      <c r="H59" s="95" t="s">
        <v>171</v>
      </c>
      <c r="I59" s="43" t="s">
        <v>1</v>
      </c>
      <c r="K59" s="30"/>
      <c r="L59" s="30"/>
    </row>
    <row r="60" spans="1:14" ht="75" customHeight="1">
      <c r="A60" s="88"/>
      <c r="B60" s="150" t="s">
        <v>73</v>
      </c>
      <c r="C60" s="140"/>
      <c r="D60" s="151"/>
      <c r="E60" s="152" t="s">
        <v>72</v>
      </c>
      <c r="F60" s="152"/>
      <c r="G60" s="152"/>
      <c r="H60" s="82"/>
      <c r="I60" s="44"/>
      <c r="K60" s="91">
        <f t="shared" ref="K60:K65" si="3">IF(H60="○",1,0)</f>
        <v>0</v>
      </c>
      <c r="L60" s="30"/>
    </row>
    <row r="61" spans="1:14" ht="36" customHeight="1">
      <c r="A61" s="88"/>
      <c r="B61" s="150" t="s">
        <v>71</v>
      </c>
      <c r="C61" s="140"/>
      <c r="D61" s="151"/>
      <c r="E61" s="152" t="s">
        <v>70</v>
      </c>
      <c r="F61" s="152"/>
      <c r="G61" s="152"/>
      <c r="H61" s="82"/>
      <c r="I61" s="43"/>
      <c r="K61" s="91">
        <f t="shared" si="3"/>
        <v>0</v>
      </c>
      <c r="L61" s="30"/>
    </row>
    <row r="62" spans="1:14" ht="115.5" customHeight="1">
      <c r="A62" s="88"/>
      <c r="B62" s="150" t="s">
        <v>69</v>
      </c>
      <c r="C62" s="140"/>
      <c r="D62" s="151"/>
      <c r="E62" s="152" t="s">
        <v>68</v>
      </c>
      <c r="F62" s="152"/>
      <c r="G62" s="152"/>
      <c r="H62" s="82"/>
      <c r="I62" s="43"/>
      <c r="K62" s="91">
        <f t="shared" si="3"/>
        <v>0</v>
      </c>
      <c r="L62" s="30"/>
    </row>
    <row r="63" spans="1:14" ht="105" customHeight="1">
      <c r="A63" s="88"/>
      <c r="B63" s="150" t="s">
        <v>67</v>
      </c>
      <c r="C63" s="140"/>
      <c r="D63" s="151"/>
      <c r="E63" s="152" t="s">
        <v>66</v>
      </c>
      <c r="F63" s="152"/>
      <c r="G63" s="152"/>
      <c r="H63" s="82"/>
      <c r="I63" s="43"/>
      <c r="K63" s="91">
        <f t="shared" si="3"/>
        <v>0</v>
      </c>
      <c r="L63" s="30"/>
    </row>
    <row r="64" spans="1:14" ht="60.75" customHeight="1">
      <c r="A64" s="88"/>
      <c r="B64" s="150" t="s">
        <v>65</v>
      </c>
      <c r="C64" s="140"/>
      <c r="D64" s="151"/>
      <c r="E64" s="153" t="s">
        <v>64</v>
      </c>
      <c r="F64" s="153"/>
      <c r="G64" s="153"/>
      <c r="H64" s="82"/>
      <c r="I64" s="43"/>
      <c r="K64" s="91">
        <f t="shared" si="3"/>
        <v>0</v>
      </c>
      <c r="L64" s="30"/>
    </row>
    <row r="65" spans="1:19" ht="71.25" customHeight="1">
      <c r="A65" s="88"/>
      <c r="B65" s="150" t="s">
        <v>177</v>
      </c>
      <c r="C65" s="140"/>
      <c r="D65" s="151"/>
      <c r="E65" s="150" t="s">
        <v>63</v>
      </c>
      <c r="F65" s="139"/>
      <c r="G65" s="154"/>
      <c r="H65" s="82"/>
      <c r="I65" s="42"/>
      <c r="K65" s="91">
        <f t="shared" si="3"/>
        <v>0</v>
      </c>
      <c r="L65" s="30"/>
    </row>
    <row r="66" spans="1:19" ht="9" customHeight="1">
      <c r="A66" s="89"/>
      <c r="B66" s="73"/>
      <c r="C66" s="124"/>
      <c r="D66" s="124"/>
      <c r="E66" s="73"/>
      <c r="F66" s="74"/>
      <c r="G66" s="74"/>
      <c r="H66" s="126"/>
      <c r="I66" s="90"/>
      <c r="K66" s="30"/>
      <c r="L66" s="30"/>
    </row>
    <row r="67" spans="1:19">
      <c r="E67" s="4"/>
      <c r="F67" s="41"/>
      <c r="G67" s="40"/>
      <c r="H67" s="2"/>
      <c r="K67" s="30"/>
      <c r="L67" s="30"/>
    </row>
    <row r="68" spans="1:19" ht="18" customHeight="1">
      <c r="A68" s="11" t="s">
        <v>62</v>
      </c>
      <c r="E68" s="39"/>
      <c r="G68" s="39"/>
      <c r="H68" s="38" t="s">
        <v>61</v>
      </c>
      <c r="K68" s="30"/>
      <c r="L68" s="30"/>
    </row>
    <row r="69" spans="1:19" ht="30" customHeight="1">
      <c r="A69" s="137" t="s">
        <v>60</v>
      </c>
      <c r="B69" s="138"/>
      <c r="C69" s="139"/>
      <c r="D69" s="140"/>
      <c r="E69" s="141" t="s">
        <v>59</v>
      </c>
      <c r="F69" s="142"/>
      <c r="G69" s="145"/>
      <c r="H69" s="147" t="str">
        <f>IF(F36=0,"",IF($E$19="家庭用",IF(K70=10,"合格
（4項へ進む）","不合格
（算定チェック終了）"),IF($E$19="業務用産業用",IF(L70=4,"合格
（4項へ進む）","不合格
（算定チェック終了）"))))</f>
        <v/>
      </c>
      <c r="K69" s="30" t="s">
        <v>172</v>
      </c>
      <c r="L69" s="30" t="s">
        <v>173</v>
      </c>
    </row>
    <row r="70" spans="1:19" ht="30" customHeight="1">
      <c r="A70" s="137" t="s">
        <v>58</v>
      </c>
      <c r="B70" s="138"/>
      <c r="C70" s="139"/>
      <c r="D70" s="140"/>
      <c r="E70" s="141" t="s">
        <v>57</v>
      </c>
      <c r="F70" s="149"/>
      <c r="G70" s="146"/>
      <c r="H70" s="148"/>
      <c r="K70" s="91">
        <f>SUM(K43:K45,K55,K60:K65)</f>
        <v>0</v>
      </c>
      <c r="L70" s="91">
        <f>SUM(K43:K45,K55)</f>
        <v>0</v>
      </c>
    </row>
    <row r="71" spans="1:19">
      <c r="A71" s="96"/>
      <c r="B71" s="96"/>
      <c r="C71" s="96"/>
      <c r="D71" s="96"/>
      <c r="E71" s="37"/>
      <c r="F71" s="37"/>
      <c r="K71" s="30"/>
      <c r="L71" s="30"/>
    </row>
    <row r="72" spans="1:19">
      <c r="A72" s="134" t="s">
        <v>56</v>
      </c>
      <c r="B72" s="134"/>
      <c r="C72" s="134"/>
      <c r="D72" s="134"/>
      <c r="E72" s="135"/>
      <c r="F72" s="135"/>
      <c r="K72" s="30"/>
      <c r="L72" s="30"/>
    </row>
    <row r="73" spans="1:19" ht="38.25" customHeight="1">
      <c r="A73" s="134" t="s">
        <v>55</v>
      </c>
      <c r="B73" s="134"/>
      <c r="C73" s="134"/>
      <c r="D73" s="134"/>
      <c r="E73" s="135"/>
      <c r="F73" s="135"/>
      <c r="G73" s="135"/>
      <c r="H73" s="135"/>
      <c r="K73" s="30"/>
      <c r="L73" s="30"/>
      <c r="S73" s="113"/>
    </row>
    <row r="74" spans="1:19">
      <c r="A74" s="103" t="s">
        <v>1</v>
      </c>
      <c r="B74" s="103"/>
      <c r="C74" s="103"/>
      <c r="D74" s="103"/>
      <c r="E74" s="97"/>
      <c r="F74" s="97"/>
      <c r="K74" s="30"/>
      <c r="L74" s="30"/>
      <c r="S74" s="113"/>
    </row>
    <row r="75" spans="1:19">
      <c r="A75" s="26" t="s">
        <v>54</v>
      </c>
      <c r="B75" s="26"/>
      <c r="C75" s="26"/>
      <c r="D75" s="26"/>
      <c r="E75" s="23"/>
      <c r="H75" s="2"/>
      <c r="K75" s="30"/>
      <c r="L75" s="30"/>
      <c r="S75" s="113"/>
    </row>
    <row r="76" spans="1:19">
      <c r="A76" s="21" t="s">
        <v>33</v>
      </c>
      <c r="B76" s="21"/>
      <c r="C76" s="21"/>
      <c r="D76" s="21"/>
      <c r="E76" s="20"/>
      <c r="F76" s="1"/>
      <c r="G76" s="1"/>
      <c r="H76" s="1"/>
      <c r="K76" s="30"/>
      <c r="L76" s="30"/>
      <c r="S76" s="113"/>
    </row>
    <row r="77" spans="1:19">
      <c r="A77" s="136" t="s">
        <v>32</v>
      </c>
      <c r="B77" s="136"/>
      <c r="C77" s="136"/>
      <c r="D77" s="104"/>
      <c r="E77" s="23"/>
      <c r="F77" s="36">
        <f>IF(K70=10,ROUNDDOWN(F$34/3*IF(E$18&gt;=2,1,0),0),0)</f>
        <v>0</v>
      </c>
      <c r="G77" s="7" t="s">
        <v>53</v>
      </c>
      <c r="H77" s="6"/>
      <c r="K77" s="30"/>
      <c r="L77" s="30"/>
      <c r="S77" s="113"/>
    </row>
    <row r="78" spans="1:19">
      <c r="A78" s="28" t="s">
        <v>52</v>
      </c>
      <c r="B78" s="28"/>
      <c r="C78" s="28"/>
      <c r="D78" s="28"/>
      <c r="E78" s="23"/>
      <c r="F78" s="36">
        <f>IF(K70=10,ROUNDDOWN(E15*40000*IF(E$18&gt;=2,1,0),0),0)</f>
        <v>0</v>
      </c>
      <c r="G78" s="7" t="s">
        <v>30</v>
      </c>
      <c r="H78" s="6"/>
      <c r="K78" s="30"/>
      <c r="L78" s="30"/>
      <c r="S78" s="113"/>
    </row>
    <row r="79" spans="1:19">
      <c r="A79" s="24" t="s">
        <v>29</v>
      </c>
      <c r="B79" s="24"/>
      <c r="C79" s="24"/>
      <c r="D79" s="24"/>
      <c r="E79" s="23"/>
      <c r="F79" s="27"/>
      <c r="G79" s="7"/>
      <c r="H79" s="6"/>
      <c r="K79" s="30"/>
      <c r="L79" s="30"/>
      <c r="S79" s="113"/>
    </row>
    <row r="80" spans="1:19">
      <c r="A80" s="24" t="s">
        <v>28</v>
      </c>
      <c r="B80" s="24"/>
      <c r="C80" s="24"/>
      <c r="D80" s="24"/>
      <c r="E80" s="23"/>
      <c r="F80" s="17"/>
      <c r="G80" s="13"/>
      <c r="H80" s="12"/>
      <c r="I80" s="22"/>
      <c r="K80" s="30"/>
      <c r="L80" s="30"/>
      <c r="S80" s="113"/>
    </row>
    <row r="81" spans="1:19" ht="27" customHeight="1">
      <c r="A81" s="24" t="s">
        <v>27</v>
      </c>
      <c r="B81" s="24"/>
      <c r="C81" s="24"/>
      <c r="D81" s="24"/>
      <c r="E81" s="23"/>
      <c r="F81" s="34">
        <f>IF(K70=10,ROUNDDOWN(F$34*IF(H$10=1,1.08,1)*IF(E$18&gt;=2,1,0),0)*IF(F77&gt;F78,1,0),0)</f>
        <v>0</v>
      </c>
      <c r="G81" s="128" t="s">
        <v>12</v>
      </c>
      <c r="H81" s="128"/>
      <c r="I81" s="22" t="s">
        <v>51</v>
      </c>
      <c r="K81" s="30"/>
      <c r="L81" s="30"/>
      <c r="O81" s="117"/>
      <c r="P81" s="117"/>
      <c r="Q81" s="117"/>
      <c r="R81" s="113"/>
      <c r="S81" s="113"/>
    </row>
    <row r="82" spans="1:19" ht="24" customHeight="1">
      <c r="A82" s="24" t="s">
        <v>25</v>
      </c>
      <c r="B82" s="24"/>
      <c r="C82" s="24"/>
      <c r="D82" s="24"/>
      <c r="E82" s="23"/>
      <c r="F82" s="34">
        <f>IF(K70=10,ROUNDDOWN(IF(F77&gt;F78,F78,0),0)*IF(H$10=1,1.08,1)*IF(E$18&gt;=2,1,0)*IF(F77&gt;F78,1,0),0)</f>
        <v>0</v>
      </c>
      <c r="G82" s="128" t="s">
        <v>9</v>
      </c>
      <c r="H82" s="128"/>
      <c r="I82" s="22" t="s">
        <v>50</v>
      </c>
      <c r="K82" s="30"/>
      <c r="L82" s="30"/>
    </row>
    <row r="83" spans="1:19">
      <c r="A83" s="24" t="s">
        <v>49</v>
      </c>
      <c r="B83" s="24"/>
      <c r="C83" s="24"/>
      <c r="D83" s="24"/>
      <c r="E83" s="23"/>
      <c r="F83" s="17"/>
      <c r="G83" s="105"/>
      <c r="H83" s="12"/>
      <c r="I83" s="22"/>
      <c r="K83" s="30"/>
      <c r="L83" s="30"/>
    </row>
    <row r="84" spans="1:19">
      <c r="A84" s="24"/>
      <c r="B84" s="24"/>
      <c r="C84" s="24"/>
      <c r="D84" s="24"/>
      <c r="E84" s="23"/>
      <c r="F84" s="17"/>
      <c r="G84" s="105"/>
      <c r="H84" s="12"/>
      <c r="I84" s="22"/>
      <c r="K84" s="30"/>
      <c r="L84" s="30"/>
    </row>
    <row r="85" spans="1:19">
      <c r="A85" s="24" t="s">
        <v>22</v>
      </c>
      <c r="B85" s="24"/>
      <c r="C85" s="24"/>
      <c r="D85" s="24"/>
      <c r="E85" s="23"/>
      <c r="F85" s="17"/>
      <c r="G85" s="13"/>
      <c r="H85" s="12"/>
      <c r="I85" s="22"/>
      <c r="K85" s="30"/>
      <c r="L85" s="30"/>
    </row>
    <row r="86" spans="1:19" ht="23.1" customHeight="1">
      <c r="A86" s="24" t="s">
        <v>13</v>
      </c>
      <c r="B86" s="24"/>
      <c r="C86" s="24"/>
      <c r="D86" s="24"/>
      <c r="E86" s="23"/>
      <c r="F86" s="34">
        <f>IF(K70=10,ROUNDDOWN(F$34*IF(H$10=1,1.08,1)*IF(E$18&gt;=2,1,0),0)*IF(F77&lt;=F78,1,0),0)</f>
        <v>0</v>
      </c>
      <c r="G86" s="128" t="s">
        <v>21</v>
      </c>
      <c r="H86" s="129"/>
      <c r="I86" s="22" t="s">
        <v>48</v>
      </c>
      <c r="K86" s="30"/>
      <c r="L86" s="30"/>
    </row>
    <row r="87" spans="1:19" ht="22.5" customHeight="1">
      <c r="A87" s="24" t="s">
        <v>10</v>
      </c>
      <c r="B87" s="24"/>
      <c r="C87" s="24"/>
      <c r="D87" s="24"/>
      <c r="E87" s="23"/>
      <c r="F87" s="34">
        <f>IF(K70=10,ROUNDDOWN(IF(F77&lt;=F78,F77,0)*IF(H$10=1,1.08,1)*IF(E$18&gt;=2,1,0),0)*IF(F77&lt;=F78,1,0),0)</f>
        <v>0</v>
      </c>
      <c r="G87" s="101" t="s">
        <v>47</v>
      </c>
      <c r="H87" s="12"/>
      <c r="I87" s="22" t="s">
        <v>46</v>
      </c>
      <c r="K87" s="30"/>
      <c r="L87" s="30"/>
    </row>
    <row r="88" spans="1:19">
      <c r="A88" s="24" t="s">
        <v>45</v>
      </c>
      <c r="B88" s="24"/>
      <c r="C88" s="24"/>
      <c r="D88" s="24"/>
      <c r="E88" s="23"/>
      <c r="F88" s="17"/>
      <c r="G88" s="105"/>
      <c r="H88" s="12"/>
      <c r="I88" s="22"/>
      <c r="K88" s="30"/>
      <c r="L88" s="30"/>
    </row>
    <row r="89" spans="1:19">
      <c r="K89" s="30"/>
      <c r="L89" s="30"/>
    </row>
    <row r="90" spans="1:19">
      <c r="A90" s="26" t="s">
        <v>16</v>
      </c>
      <c r="B90" s="26"/>
      <c r="C90" s="26"/>
      <c r="D90" s="26"/>
      <c r="E90" s="23"/>
      <c r="F90" s="13"/>
      <c r="K90" s="30"/>
      <c r="L90" s="30"/>
    </row>
    <row r="91" spans="1:19">
      <c r="A91" s="143" t="s">
        <v>15</v>
      </c>
      <c r="B91" s="143"/>
      <c r="C91" s="143"/>
      <c r="D91" s="108"/>
      <c r="F91" s="35">
        <f>IF(K70=10,ROUNDDOWN(F$35/2,0)*IF(E$18&gt;=2,1,0),0)</f>
        <v>0</v>
      </c>
      <c r="G91" s="12" t="s">
        <v>44</v>
      </c>
      <c r="H91" s="2"/>
      <c r="K91" s="30"/>
      <c r="L91" s="30"/>
    </row>
    <row r="92" spans="1:19">
      <c r="A92" s="18" t="s">
        <v>43</v>
      </c>
      <c r="B92" s="18"/>
      <c r="C92" s="18"/>
      <c r="D92" s="18"/>
      <c r="F92" s="35">
        <f>IF(K70=10,ROUNDDOWN(50000*IF(E$18&gt;=2,1,0),0),0)</f>
        <v>0</v>
      </c>
      <c r="G92" s="12" t="s">
        <v>42</v>
      </c>
      <c r="H92" s="2"/>
      <c r="K92" s="30"/>
      <c r="L92" s="30"/>
    </row>
    <row r="93" spans="1:19">
      <c r="A93" s="24" t="s">
        <v>28</v>
      </c>
      <c r="B93" s="24"/>
      <c r="C93" s="24"/>
      <c r="D93" s="24"/>
      <c r="E93" s="23"/>
      <c r="F93" s="14"/>
      <c r="G93" s="13"/>
      <c r="H93" s="12"/>
      <c r="I93" s="22"/>
      <c r="K93" s="30"/>
      <c r="L93" s="30"/>
    </row>
    <row r="94" spans="1:19" ht="22.5" customHeight="1">
      <c r="A94" s="24" t="s">
        <v>27</v>
      </c>
      <c r="B94" s="24"/>
      <c r="C94" s="24"/>
      <c r="D94" s="24"/>
      <c r="E94" s="23"/>
      <c r="F94" s="34">
        <f>IF(K70=10,ROUNDDOWN(F$35*(IF(H$10=1,1.08,1))*IF(E$18&gt;=2,1,0),0)*IF(F91&gt;F92,1,0),0)</f>
        <v>0</v>
      </c>
      <c r="G94" s="128" t="s">
        <v>12</v>
      </c>
      <c r="H94" s="129"/>
      <c r="I94" s="22" t="s">
        <v>41</v>
      </c>
      <c r="K94" s="30"/>
      <c r="L94" s="30"/>
    </row>
    <row r="95" spans="1:19" ht="22.5" customHeight="1">
      <c r="A95" s="24" t="s">
        <v>25</v>
      </c>
      <c r="B95" s="24"/>
      <c r="C95" s="24"/>
      <c r="D95" s="24"/>
      <c r="E95" s="23"/>
      <c r="F95" s="34">
        <f>IF(K70=10,ROUNDDOWN(IF(F91&gt;F92,F92,0),0)*IF(H$10=1,1.08,1)*IF(E$18&gt;=2,1,0)*IF(F91&gt;F92,1,0),0)</f>
        <v>0</v>
      </c>
      <c r="G95" s="128" t="s">
        <v>9</v>
      </c>
      <c r="H95" s="128"/>
      <c r="I95" s="22" t="s">
        <v>40</v>
      </c>
      <c r="K95" s="30"/>
      <c r="L95" s="30"/>
    </row>
    <row r="96" spans="1:19">
      <c r="A96" s="24" t="s">
        <v>39</v>
      </c>
      <c r="B96" s="24"/>
      <c r="C96" s="24"/>
      <c r="D96" s="24"/>
      <c r="E96" s="23"/>
      <c r="F96" s="17"/>
      <c r="G96" s="105"/>
      <c r="H96" s="12"/>
      <c r="I96" s="22"/>
      <c r="K96" s="30"/>
      <c r="L96" s="30"/>
    </row>
    <row r="97" spans="1:14">
      <c r="A97" s="24" t="s">
        <v>38</v>
      </c>
      <c r="B97" s="24"/>
      <c r="C97" s="24"/>
      <c r="D97" s="24"/>
      <c r="E97" s="23"/>
      <c r="F97" s="17"/>
      <c r="G97" s="105"/>
      <c r="H97" s="12"/>
      <c r="I97" s="22"/>
      <c r="K97" s="30"/>
      <c r="L97" s="30"/>
    </row>
    <row r="98" spans="1:14">
      <c r="A98" s="24" t="s">
        <v>22</v>
      </c>
      <c r="B98" s="24"/>
      <c r="C98" s="24"/>
      <c r="D98" s="24"/>
      <c r="E98" s="23"/>
      <c r="F98" s="17"/>
      <c r="G98" s="13"/>
      <c r="H98" s="12"/>
      <c r="I98" s="22"/>
      <c r="K98" s="30"/>
      <c r="L98" s="30"/>
    </row>
    <row r="99" spans="1:14" ht="22.5" customHeight="1">
      <c r="A99" s="24" t="s">
        <v>13</v>
      </c>
      <c r="B99" s="24"/>
      <c r="C99" s="24"/>
      <c r="D99" s="24"/>
      <c r="E99" s="23"/>
      <c r="F99" s="34">
        <f>IF(K70=10,ROUNDDOWN(F$35*IF(H$10=1,1.08,1)*IF(E$18&gt;=2,1,0),0)*IF(F91&lt;=F92,1,0),0)</f>
        <v>0</v>
      </c>
      <c r="G99" s="128" t="s">
        <v>21</v>
      </c>
      <c r="H99" s="128"/>
      <c r="I99" s="22" t="s">
        <v>37</v>
      </c>
      <c r="K99" s="30"/>
      <c r="L99" s="30"/>
    </row>
    <row r="100" spans="1:14" ht="22.5" customHeight="1">
      <c r="A100" s="24" t="s">
        <v>10</v>
      </c>
      <c r="B100" s="24"/>
      <c r="C100" s="24"/>
      <c r="D100" s="24"/>
      <c r="E100" s="23"/>
      <c r="F100" s="34">
        <f>IF(K70=10,ROUNDDOWN(IF(F91&lt;=F92,F91,0)*1,0)*IF(H$10=1,1.08,1)*IF(E$18&gt;=2,1,0)*IF(F91&lt;=F92,1,0),0)</f>
        <v>0</v>
      </c>
      <c r="G100" s="128" t="s">
        <v>19</v>
      </c>
      <c r="H100" s="128"/>
      <c r="I100" s="22" t="s">
        <v>36</v>
      </c>
      <c r="K100" s="30"/>
      <c r="L100" s="30"/>
    </row>
    <row r="101" spans="1:14">
      <c r="A101" s="24" t="s">
        <v>35</v>
      </c>
      <c r="B101" s="24"/>
      <c r="C101" s="24"/>
      <c r="D101" s="24"/>
      <c r="E101" s="23"/>
      <c r="F101" s="17"/>
      <c r="G101" s="105"/>
      <c r="H101" s="12"/>
      <c r="I101" s="22"/>
      <c r="K101" s="30"/>
      <c r="L101" s="30"/>
    </row>
    <row r="102" spans="1:14">
      <c r="K102" s="30"/>
      <c r="L102" s="30"/>
    </row>
    <row r="103" spans="1:14">
      <c r="A103" s="21" t="s">
        <v>34</v>
      </c>
      <c r="B103" s="21"/>
      <c r="C103" s="21"/>
      <c r="D103" s="21"/>
      <c r="E103" s="20"/>
      <c r="K103" s="30"/>
      <c r="L103" s="30"/>
      <c r="N103" s="115"/>
    </row>
    <row r="104" spans="1:14">
      <c r="A104" s="21" t="s">
        <v>33</v>
      </c>
      <c r="B104" s="21"/>
      <c r="C104" s="21"/>
      <c r="D104" s="21"/>
      <c r="E104" s="20"/>
      <c r="K104" s="30"/>
      <c r="L104" s="30"/>
    </row>
    <row r="105" spans="1:14">
      <c r="A105" s="136" t="s">
        <v>32</v>
      </c>
      <c r="B105" s="136"/>
      <c r="C105" s="136"/>
      <c r="D105" s="104"/>
      <c r="E105" s="23"/>
      <c r="F105" s="35">
        <f>IF(L70=4,ROUNDDOWN(F$34/3*IF(E$18&lt;2,1,0),0),0)</f>
        <v>0</v>
      </c>
      <c r="G105" s="7" t="s">
        <v>31</v>
      </c>
      <c r="H105" s="12"/>
      <c r="K105" s="30"/>
      <c r="L105" s="30"/>
    </row>
    <row r="106" spans="1:14">
      <c r="A106" s="28" t="s">
        <v>169</v>
      </c>
      <c r="B106" s="28"/>
      <c r="C106" s="28"/>
      <c r="D106" s="28"/>
      <c r="E106" s="23"/>
      <c r="F106" s="35">
        <f>IF(L70=4,ROUNDDOWN(E$16*80000*IF(E$18&lt;2,1,0),0),0)</f>
        <v>0</v>
      </c>
      <c r="G106" s="7" t="s">
        <v>30</v>
      </c>
      <c r="H106" s="12"/>
      <c r="K106" s="30"/>
      <c r="L106" s="30"/>
      <c r="N106" s="115"/>
    </row>
    <row r="107" spans="1:14">
      <c r="A107" s="24" t="s">
        <v>29</v>
      </c>
      <c r="B107" s="24"/>
      <c r="C107" s="24"/>
      <c r="D107" s="24"/>
      <c r="E107" s="23"/>
      <c r="F107" s="27"/>
      <c r="G107" s="7"/>
      <c r="H107" s="12"/>
      <c r="I107" s="22"/>
      <c r="K107" s="30"/>
      <c r="L107" s="30"/>
    </row>
    <row r="108" spans="1:14">
      <c r="A108" s="24" t="s">
        <v>28</v>
      </c>
      <c r="B108" s="24"/>
      <c r="C108" s="24"/>
      <c r="D108" s="24"/>
      <c r="E108" s="23"/>
      <c r="F108" s="17"/>
      <c r="G108" s="13"/>
      <c r="H108" s="12"/>
      <c r="I108" s="22"/>
      <c r="K108" s="30"/>
      <c r="L108" s="30"/>
    </row>
    <row r="109" spans="1:14" ht="22.5" customHeight="1">
      <c r="A109" s="24" t="s">
        <v>27</v>
      </c>
      <c r="B109" s="24"/>
      <c r="C109" s="24"/>
      <c r="D109" s="24"/>
      <c r="E109" s="23"/>
      <c r="F109" s="34">
        <f>IF(L70=4,ROUNDDOWN(F$34*IF(H$10=1,1.08,1)*IF(E$18&lt;2,1,0),0)*IF(F105&gt;F106,1,0),0)</f>
        <v>0</v>
      </c>
      <c r="G109" s="128" t="s">
        <v>12</v>
      </c>
      <c r="H109" s="129"/>
      <c r="I109" s="22" t="s">
        <v>26</v>
      </c>
      <c r="K109" s="30"/>
      <c r="L109" s="30"/>
    </row>
    <row r="110" spans="1:14" ht="21" customHeight="1">
      <c r="A110" s="24" t="s">
        <v>25</v>
      </c>
      <c r="B110" s="24"/>
      <c r="C110" s="24"/>
      <c r="D110" s="24"/>
      <c r="E110" s="23"/>
      <c r="F110" s="34">
        <f>IF(L70=4,ROUNDDOWN(IF(F105&gt;F106,F106,0)*IF(H$10=1,1.08,1)*IF(E$18&lt;2,1,0)*IF(F105&gt;F106,1,0),0),0)</f>
        <v>0</v>
      </c>
      <c r="G110" s="128" t="s">
        <v>9</v>
      </c>
      <c r="H110" s="128"/>
      <c r="I110" s="22" t="s">
        <v>24</v>
      </c>
      <c r="K110" s="30"/>
      <c r="L110" s="30"/>
    </row>
    <row r="111" spans="1:14">
      <c r="A111" s="24" t="s">
        <v>23</v>
      </c>
      <c r="B111" s="24"/>
      <c r="C111" s="24"/>
      <c r="D111" s="24"/>
      <c r="E111" s="23"/>
      <c r="F111" s="17"/>
      <c r="G111" s="105"/>
      <c r="H111" s="12"/>
      <c r="I111" s="22"/>
      <c r="K111" s="30"/>
      <c r="L111" s="30"/>
    </row>
    <row r="112" spans="1:14">
      <c r="A112" s="24"/>
      <c r="B112" s="24"/>
      <c r="C112" s="24"/>
      <c r="D112" s="24"/>
      <c r="E112" s="23"/>
      <c r="F112" s="17"/>
      <c r="G112" s="105"/>
      <c r="H112" s="12"/>
      <c r="I112" s="22"/>
      <c r="K112" s="30"/>
      <c r="L112" s="30"/>
    </row>
    <row r="113" spans="1:12">
      <c r="A113" s="24" t="s">
        <v>22</v>
      </c>
      <c r="B113" s="24"/>
      <c r="C113" s="24"/>
      <c r="D113" s="24"/>
      <c r="E113" s="23"/>
      <c r="F113" s="17"/>
      <c r="G113" s="13"/>
      <c r="H113" s="12"/>
      <c r="I113" s="22"/>
      <c r="K113" s="30"/>
      <c r="L113" s="30"/>
    </row>
    <row r="114" spans="1:12" ht="22.5" customHeight="1">
      <c r="A114" s="24" t="s">
        <v>13</v>
      </c>
      <c r="B114" s="24"/>
      <c r="C114" s="24"/>
      <c r="D114" s="24"/>
      <c r="E114" s="23"/>
      <c r="F114" s="35">
        <f>IF(L70=4,ROUNDDOWN(F$34*(IF(H$10=1,1.08,1))*IF(E$18&lt;2,1,0),0)*IF(F105&lt;=F106,1,0),0)</f>
        <v>0</v>
      </c>
      <c r="G114" s="128" t="s">
        <v>21</v>
      </c>
      <c r="H114" s="128"/>
      <c r="I114" s="22" t="s">
        <v>20</v>
      </c>
      <c r="K114" s="30"/>
      <c r="L114" s="30"/>
    </row>
    <row r="115" spans="1:12" ht="22.5" customHeight="1">
      <c r="A115" s="24" t="s">
        <v>10</v>
      </c>
      <c r="B115" s="24"/>
      <c r="C115" s="24"/>
      <c r="D115" s="24"/>
      <c r="E115" s="23"/>
      <c r="F115" s="34">
        <f>IF(L70=4,ROUNDDOWN(IF(F105&lt;=F106,F105,0)*IF(H$10=1,1.08,1)*IF(E$18&lt;2,1,0),0)*IF(F105&lt;=F106,1,0),0)</f>
        <v>0</v>
      </c>
      <c r="G115" s="128" t="s">
        <v>19</v>
      </c>
      <c r="H115" s="128"/>
      <c r="I115" s="22" t="s">
        <v>18</v>
      </c>
      <c r="K115" s="30"/>
      <c r="L115" s="30"/>
    </row>
    <row r="116" spans="1:12">
      <c r="A116" s="24" t="s">
        <v>17</v>
      </c>
      <c r="B116" s="24"/>
      <c r="C116" s="24"/>
      <c r="D116" s="24"/>
      <c r="E116" s="23"/>
      <c r="F116" s="17"/>
      <c r="G116" s="105"/>
      <c r="H116" s="12"/>
      <c r="I116" s="22"/>
      <c r="K116" s="30"/>
      <c r="L116" s="30"/>
    </row>
    <row r="117" spans="1:12">
      <c r="K117" s="30"/>
      <c r="L117" s="30"/>
    </row>
    <row r="118" spans="1:12">
      <c r="A118" s="26" t="s">
        <v>16</v>
      </c>
      <c r="B118" s="26"/>
      <c r="C118" s="26"/>
      <c r="D118" s="26"/>
      <c r="E118" s="23"/>
      <c r="F118" s="13"/>
      <c r="K118" s="30"/>
      <c r="L118" s="30"/>
    </row>
    <row r="119" spans="1:12">
      <c r="A119" s="143" t="s">
        <v>15</v>
      </c>
      <c r="B119" s="143"/>
      <c r="C119" s="143"/>
      <c r="D119" s="108"/>
      <c r="F119" s="14"/>
      <c r="G119" s="7"/>
      <c r="K119" s="30"/>
      <c r="L119" s="30"/>
    </row>
    <row r="120" spans="1:12">
      <c r="A120" s="144" t="s">
        <v>14</v>
      </c>
      <c r="B120" s="144"/>
      <c r="C120" s="144"/>
      <c r="D120" s="107"/>
      <c r="F120" s="17"/>
      <c r="G120" s="13"/>
      <c r="K120" s="30"/>
      <c r="L120" s="30"/>
    </row>
    <row r="121" spans="1:12" ht="21" customHeight="1">
      <c r="A121" s="24" t="s">
        <v>13</v>
      </c>
      <c r="B121" s="24"/>
      <c r="C121" s="24"/>
      <c r="D121" s="24"/>
      <c r="E121" s="23"/>
      <c r="F121" s="33">
        <f>IF(L70=4,ROUNDDOWN(F$35*IF(H$10=1,1.08,1)*IF(E$18&lt;2,1,0),0),0)</f>
        <v>0</v>
      </c>
      <c r="G121" s="128" t="s">
        <v>175</v>
      </c>
      <c r="H121" s="129"/>
      <c r="I121" s="8" t="s">
        <v>11</v>
      </c>
      <c r="K121" s="30"/>
      <c r="L121" s="30"/>
    </row>
    <row r="122" spans="1:12" ht="23.1" customHeight="1">
      <c r="A122" s="24" t="s">
        <v>10</v>
      </c>
      <c r="B122" s="24"/>
      <c r="C122" s="24"/>
      <c r="D122" s="24"/>
      <c r="E122" s="23"/>
      <c r="F122" s="33">
        <f>IF(L70=4,ROUNDDOWN(F$35*IF(H$10=1,1.08,1)*IF(E$18&lt;2,1,0)/2,0),0)</f>
        <v>0</v>
      </c>
      <c r="G122" s="128" t="s">
        <v>176</v>
      </c>
      <c r="H122" s="128"/>
      <c r="I122" s="8" t="s">
        <v>8</v>
      </c>
      <c r="K122" s="30"/>
      <c r="L122" s="30"/>
    </row>
    <row r="123" spans="1:12">
      <c r="A123" s="24" t="s">
        <v>7</v>
      </c>
      <c r="B123" s="24"/>
      <c r="C123" s="24"/>
      <c r="D123" s="24"/>
      <c r="E123" s="23"/>
      <c r="F123" s="17"/>
      <c r="G123" s="105"/>
      <c r="H123" s="12"/>
      <c r="K123" s="30"/>
      <c r="L123" s="30"/>
    </row>
    <row r="124" spans="1:12" ht="8.25" customHeight="1">
      <c r="A124" s="24"/>
      <c r="B124" s="24"/>
      <c r="C124" s="24"/>
      <c r="D124" s="24"/>
      <c r="E124" s="23"/>
      <c r="F124" s="17"/>
      <c r="G124" s="105"/>
      <c r="H124" s="12"/>
      <c r="K124" s="30"/>
      <c r="L124" s="30"/>
    </row>
    <row r="125" spans="1:12" ht="17.25">
      <c r="A125" s="32" t="s">
        <v>6</v>
      </c>
      <c r="B125" s="32"/>
      <c r="C125" s="31"/>
      <c r="D125" s="31"/>
      <c r="E125" s="31"/>
      <c r="K125" s="30"/>
      <c r="L125" s="30"/>
    </row>
    <row r="129" spans="1:9">
      <c r="F129" s="17"/>
      <c r="G129" s="105"/>
      <c r="H129" s="12"/>
      <c r="I129" s="22"/>
    </row>
    <row r="130" spans="1:9">
      <c r="A130" s="29"/>
      <c r="B130" s="29"/>
      <c r="C130" s="29"/>
      <c r="D130" s="29"/>
      <c r="E130" s="23"/>
      <c r="F130" s="14"/>
      <c r="G130" s="7"/>
      <c r="H130" s="12"/>
    </row>
    <row r="131" spans="1:9">
      <c r="A131" s="28"/>
      <c r="B131" s="28"/>
      <c r="C131" s="28"/>
      <c r="D131" s="28"/>
      <c r="E131" s="23"/>
      <c r="F131" s="14"/>
      <c r="G131" s="7"/>
      <c r="H131" s="12"/>
    </row>
    <row r="132" spans="1:9">
      <c r="A132" s="24"/>
      <c r="B132" s="24"/>
      <c r="C132" s="24"/>
      <c r="D132" s="24"/>
      <c r="E132" s="23"/>
      <c r="F132" s="27"/>
      <c r="G132" s="7"/>
      <c r="H132" s="12"/>
      <c r="I132" s="22"/>
    </row>
    <row r="133" spans="1:9">
      <c r="A133" s="24"/>
      <c r="B133" s="24"/>
      <c r="C133" s="24"/>
      <c r="D133" s="24"/>
      <c r="E133" s="23"/>
      <c r="F133" s="17"/>
      <c r="G133" s="13"/>
      <c r="H133" s="12"/>
      <c r="I133" s="22"/>
    </row>
    <row r="134" spans="1:9">
      <c r="A134" s="24"/>
      <c r="B134" s="24"/>
      <c r="C134" s="24"/>
      <c r="D134" s="24"/>
      <c r="E134" s="23"/>
      <c r="F134" s="17"/>
      <c r="G134" s="105"/>
      <c r="H134" s="12"/>
      <c r="I134" s="22"/>
    </row>
    <row r="135" spans="1:9">
      <c r="A135" s="24"/>
      <c r="B135" s="24"/>
      <c r="C135" s="24"/>
      <c r="D135" s="24"/>
      <c r="E135" s="23"/>
      <c r="F135" s="17"/>
      <c r="G135" s="105"/>
      <c r="H135" s="12"/>
      <c r="I135" s="22"/>
    </row>
    <row r="136" spans="1:9">
      <c r="A136" s="24"/>
      <c r="B136" s="24"/>
      <c r="C136" s="24"/>
      <c r="D136" s="24"/>
      <c r="E136" s="23"/>
      <c r="F136" s="17"/>
      <c r="G136" s="105"/>
      <c r="H136" s="12"/>
      <c r="I136" s="22"/>
    </row>
    <row r="137" spans="1:9">
      <c r="A137" s="24"/>
      <c r="B137" s="24"/>
      <c r="C137" s="24"/>
      <c r="D137" s="24"/>
      <c r="E137" s="23"/>
      <c r="F137" s="17"/>
      <c r="G137" s="105"/>
      <c r="H137" s="12"/>
      <c r="I137" s="22"/>
    </row>
    <row r="138" spans="1:9">
      <c r="A138" s="24"/>
      <c r="B138" s="24"/>
      <c r="C138" s="24"/>
      <c r="D138" s="24"/>
      <c r="E138" s="23"/>
      <c r="F138" s="17"/>
      <c r="G138" s="13"/>
      <c r="H138" s="12"/>
      <c r="I138" s="22"/>
    </row>
    <row r="139" spans="1:9">
      <c r="A139" s="24"/>
      <c r="B139" s="24"/>
      <c r="C139" s="24"/>
      <c r="D139" s="24"/>
      <c r="E139" s="23"/>
      <c r="F139" s="17"/>
      <c r="G139" s="105"/>
      <c r="H139" s="12"/>
      <c r="I139" s="22"/>
    </row>
    <row r="140" spans="1:9">
      <c r="A140" s="24"/>
      <c r="B140" s="24"/>
      <c r="C140" s="24"/>
      <c r="D140" s="24"/>
      <c r="E140" s="23"/>
      <c r="F140" s="17"/>
      <c r="G140" s="105"/>
      <c r="H140" s="12"/>
      <c r="I140" s="22"/>
    </row>
    <row r="141" spans="1:9">
      <c r="A141" s="24"/>
      <c r="B141" s="24"/>
      <c r="C141" s="24"/>
      <c r="D141" s="24"/>
      <c r="E141" s="23"/>
      <c r="F141" s="17"/>
      <c r="G141" s="105"/>
      <c r="H141" s="12"/>
      <c r="I141" s="22"/>
    </row>
    <row r="142" spans="1:9">
      <c r="A142" s="15"/>
      <c r="B142" s="15"/>
      <c r="C142" s="15"/>
      <c r="D142" s="15"/>
      <c r="F142" s="17"/>
      <c r="G142" s="13"/>
      <c r="H142" s="12"/>
    </row>
    <row r="143" spans="1:9">
      <c r="A143" s="26"/>
      <c r="B143" s="26"/>
      <c r="C143" s="26"/>
      <c r="D143" s="26"/>
      <c r="E143" s="23"/>
      <c r="F143" s="25"/>
      <c r="G143" s="12"/>
      <c r="H143" s="2"/>
    </row>
    <row r="144" spans="1:9">
      <c r="A144" s="21"/>
      <c r="B144" s="21"/>
      <c r="C144" s="21"/>
      <c r="D144" s="21"/>
      <c r="E144" s="20"/>
      <c r="F144" s="25"/>
      <c r="G144" s="12"/>
      <c r="H144" s="2"/>
    </row>
    <row r="145" spans="1:9">
      <c r="A145" s="18"/>
      <c r="B145" s="18"/>
      <c r="C145" s="18"/>
      <c r="D145" s="18"/>
      <c r="F145" s="25"/>
      <c r="G145" s="12"/>
      <c r="H145" s="2"/>
    </row>
    <row r="146" spans="1:9">
      <c r="A146" s="18"/>
      <c r="B146" s="18"/>
      <c r="C146" s="18"/>
      <c r="D146" s="18"/>
      <c r="F146" s="25"/>
      <c r="G146" s="12"/>
      <c r="H146" s="2"/>
    </row>
    <row r="147" spans="1:9">
      <c r="A147" s="24"/>
      <c r="B147" s="24"/>
      <c r="C147" s="24"/>
      <c r="D147" s="24"/>
      <c r="E147" s="23"/>
      <c r="F147" s="17"/>
      <c r="G147" s="13"/>
      <c r="H147" s="12"/>
      <c r="I147" s="22"/>
    </row>
    <row r="148" spans="1:9">
      <c r="A148" s="24"/>
      <c r="B148" s="24"/>
      <c r="C148" s="24"/>
      <c r="D148" s="24"/>
      <c r="E148" s="23"/>
      <c r="F148" s="17"/>
      <c r="G148" s="105"/>
      <c r="H148" s="12"/>
      <c r="I148" s="22"/>
    </row>
    <row r="149" spans="1:9">
      <c r="A149" s="24"/>
      <c r="B149" s="24"/>
      <c r="C149" s="24"/>
      <c r="D149" s="24"/>
      <c r="E149" s="23"/>
      <c r="F149" s="17"/>
      <c r="G149" s="105"/>
      <c r="H149" s="12"/>
      <c r="I149" s="22"/>
    </row>
    <row r="150" spans="1:9">
      <c r="A150" s="24"/>
      <c r="B150" s="24"/>
      <c r="C150" s="24"/>
      <c r="D150" s="24"/>
      <c r="E150" s="23"/>
      <c r="F150" s="17"/>
      <c r="G150" s="105"/>
      <c r="H150" s="12"/>
      <c r="I150" s="22"/>
    </row>
    <row r="151" spans="1:9">
      <c r="A151" s="24"/>
      <c r="B151" s="24"/>
      <c r="C151" s="24"/>
      <c r="D151" s="24"/>
      <c r="E151" s="23"/>
      <c r="F151" s="17"/>
      <c r="G151" s="105"/>
      <c r="H151" s="12"/>
      <c r="I151" s="22"/>
    </row>
    <row r="152" spans="1:9">
      <c r="A152" s="24"/>
      <c r="B152" s="24"/>
      <c r="C152" s="24"/>
      <c r="D152" s="24"/>
      <c r="E152" s="23"/>
      <c r="F152" s="17"/>
      <c r="G152" s="13"/>
      <c r="H152" s="12"/>
      <c r="I152" s="22"/>
    </row>
    <row r="153" spans="1:9">
      <c r="A153" s="24"/>
      <c r="B153" s="24"/>
      <c r="C153" s="24"/>
      <c r="D153" s="24"/>
      <c r="E153" s="23"/>
      <c r="F153" s="17"/>
      <c r="G153" s="105"/>
      <c r="H153" s="12"/>
      <c r="I153" s="22"/>
    </row>
    <row r="154" spans="1:9">
      <c r="A154" s="24"/>
      <c r="B154" s="24"/>
      <c r="C154" s="24"/>
      <c r="D154" s="24"/>
      <c r="E154" s="23"/>
      <c r="F154" s="17"/>
      <c r="G154" s="105"/>
      <c r="H154" s="12"/>
      <c r="I154" s="22"/>
    </row>
    <row r="155" spans="1:9">
      <c r="A155" s="24"/>
      <c r="B155" s="24"/>
      <c r="C155" s="24"/>
      <c r="D155" s="24"/>
      <c r="E155" s="23"/>
      <c r="F155" s="17"/>
      <c r="G155" s="105"/>
      <c r="H155" s="12"/>
      <c r="I155" s="22"/>
    </row>
    <row r="156" spans="1:9">
      <c r="A156" s="15"/>
      <c r="B156" s="15"/>
      <c r="C156" s="15"/>
      <c r="D156" s="15"/>
      <c r="F156" s="17"/>
      <c r="G156" s="13"/>
      <c r="H156" s="12"/>
    </row>
    <row r="157" spans="1:9">
      <c r="A157" s="21"/>
      <c r="B157" s="21"/>
      <c r="C157" s="21"/>
      <c r="D157" s="21"/>
      <c r="E157" s="20"/>
      <c r="F157" s="19"/>
    </row>
    <row r="158" spans="1:9">
      <c r="A158" s="18"/>
      <c r="B158" s="18"/>
      <c r="C158" s="18"/>
      <c r="D158" s="18"/>
      <c r="F158" s="14"/>
      <c r="G158" s="7"/>
      <c r="H158" s="6"/>
    </row>
    <row r="159" spans="1:9">
      <c r="A159" s="15"/>
      <c r="B159" s="15"/>
      <c r="C159" s="15"/>
      <c r="D159" s="15"/>
      <c r="F159" s="17"/>
      <c r="G159" s="13"/>
      <c r="H159" s="12"/>
      <c r="I159" s="16"/>
    </row>
    <row r="160" spans="1:9">
      <c r="A160" s="15"/>
      <c r="B160" s="15"/>
      <c r="C160" s="15"/>
      <c r="D160" s="15"/>
      <c r="F160" s="14"/>
      <c r="G160" s="13"/>
      <c r="H160" s="12"/>
    </row>
  </sheetData>
  <sheetProtection algorithmName="SHA-512" hashValue="CvateP71LSaPfpnjjSdX3u5/OoVcGswXB6VJRpYOpgOWYYzt1S+TUxXY770q6I+ozidXVWBRkQnIjL63z8yc2Q==" saltValue="Nu72TMNEFc8uEKHGrRkp/A==" spinCount="100000" sheet="1" objects="1" scenarios="1"/>
  <mergeCells count="79">
    <mergeCell ref="H1:I1"/>
    <mergeCell ref="K1:L1"/>
    <mergeCell ref="A15:D15"/>
    <mergeCell ref="F15:H15"/>
    <mergeCell ref="A36:D36"/>
    <mergeCell ref="A16:D16"/>
    <mergeCell ref="A17:D17"/>
    <mergeCell ref="A18:D18"/>
    <mergeCell ref="A19:D19"/>
    <mergeCell ref="A23:H23"/>
    <mergeCell ref="A24:D24"/>
    <mergeCell ref="A25:D31"/>
    <mergeCell ref="E26:H26"/>
    <mergeCell ref="A32:D33"/>
    <mergeCell ref="F19:H19"/>
    <mergeCell ref="A20:D20"/>
    <mergeCell ref="F20:H20"/>
    <mergeCell ref="A37:D37"/>
    <mergeCell ref="A40:G40"/>
    <mergeCell ref="A42:G42"/>
    <mergeCell ref="A46:H46"/>
    <mergeCell ref="B47:D47"/>
    <mergeCell ref="F47:G47"/>
    <mergeCell ref="B48:D53"/>
    <mergeCell ref="F48:G48"/>
    <mergeCell ref="I48:I54"/>
    <mergeCell ref="F49:G49"/>
    <mergeCell ref="F50:G50"/>
    <mergeCell ref="F51:G51"/>
    <mergeCell ref="F52:G52"/>
    <mergeCell ref="F53:G53"/>
    <mergeCell ref="B54:D54"/>
    <mergeCell ref="F54:G54"/>
    <mergeCell ref="B55:D55"/>
    <mergeCell ref="E55:G55"/>
    <mergeCell ref="A57:D57"/>
    <mergeCell ref="E57:H57"/>
    <mergeCell ref="B59:D59"/>
    <mergeCell ref="E59:G59"/>
    <mergeCell ref="B60:D60"/>
    <mergeCell ref="E60:G60"/>
    <mergeCell ref="B61:D61"/>
    <mergeCell ref="E61:G61"/>
    <mergeCell ref="B62:D62"/>
    <mergeCell ref="E62:G62"/>
    <mergeCell ref="G69:G70"/>
    <mergeCell ref="H69:H70"/>
    <mergeCell ref="A70:D70"/>
    <mergeCell ref="E70:F70"/>
    <mergeCell ref="B63:D63"/>
    <mergeCell ref="E63:G63"/>
    <mergeCell ref="B64:D64"/>
    <mergeCell ref="E64:G64"/>
    <mergeCell ref="B65:D65"/>
    <mergeCell ref="E65:G65"/>
    <mergeCell ref="A119:C119"/>
    <mergeCell ref="A120:C120"/>
    <mergeCell ref="A91:C91"/>
    <mergeCell ref="G94:H94"/>
    <mergeCell ref="G95:H95"/>
    <mergeCell ref="G99:H99"/>
    <mergeCell ref="G100:H100"/>
    <mergeCell ref="A105:C105"/>
    <mergeCell ref="G121:H121"/>
    <mergeCell ref="G122:H122"/>
    <mergeCell ref="D4:F4"/>
    <mergeCell ref="D5:F5"/>
    <mergeCell ref="G109:H109"/>
    <mergeCell ref="G110:H110"/>
    <mergeCell ref="G114:H114"/>
    <mergeCell ref="G115:H115"/>
    <mergeCell ref="A72:F72"/>
    <mergeCell ref="A73:H73"/>
    <mergeCell ref="A77:C77"/>
    <mergeCell ref="G81:H81"/>
    <mergeCell ref="G82:H82"/>
    <mergeCell ref="G86:H86"/>
    <mergeCell ref="A69:D69"/>
    <mergeCell ref="E69:F69"/>
  </mergeCells>
  <phoneticPr fontId="1"/>
  <conditionalFormatting sqref="E20">
    <cfRule type="expression" dxfId="7" priority="8">
      <formula>$E$19="業務用産業用"</formula>
    </cfRule>
  </conditionalFormatting>
  <conditionalFormatting sqref="F20:H20">
    <cfRule type="expression" dxfId="6" priority="7">
      <formula>$K$20="ERROR"</formula>
    </cfRule>
  </conditionalFormatting>
  <conditionalFormatting sqref="H60">
    <cfRule type="expression" dxfId="5" priority="6">
      <formula>$E$19="業務用産業用"</formula>
    </cfRule>
  </conditionalFormatting>
  <conditionalFormatting sqref="H61">
    <cfRule type="expression" dxfId="4" priority="5">
      <formula>$E$19="業務用産業用"</formula>
    </cfRule>
  </conditionalFormatting>
  <conditionalFormatting sqref="H62">
    <cfRule type="expression" dxfId="3" priority="4">
      <formula>$E$19="業務用産業用"</formula>
    </cfRule>
  </conditionalFormatting>
  <conditionalFormatting sqref="H63">
    <cfRule type="expression" dxfId="2" priority="3">
      <formula>$E$19="業務用産業用"</formula>
    </cfRule>
  </conditionalFormatting>
  <conditionalFormatting sqref="H64">
    <cfRule type="expression" dxfId="1" priority="2">
      <formula>$E$19="業務用産業用"</formula>
    </cfRule>
  </conditionalFormatting>
  <conditionalFormatting sqref="H65:H66">
    <cfRule type="expression" dxfId="0" priority="1">
      <formula>$E$19="業務用産業用"</formula>
    </cfRule>
  </conditionalFormatting>
  <dataValidations disablePrompts="1" count="8">
    <dataValidation type="list" allowBlank="1" showInputMessage="1" showErrorMessage="1" sqref="H60:H65">
      <formula1>"－,○,×"</formula1>
    </dataValidation>
    <dataValidation type="list" allowBlank="1" showInputMessage="1" showErrorMessage="1" sqref="H43:H45">
      <formula1>"○,×"</formula1>
    </dataValidation>
    <dataValidation type="decimal" imeMode="off" operator="greaterThanOrEqual" allowBlank="1" showInputMessage="1" showErrorMessage="1" errorTitle="蓄電容量を確認ください。" error="初期実効容量が1.0kWh未満の蓄電システムは対象外となります。" sqref="E15">
      <formula1>1</formula1>
    </dataValidation>
    <dataValidation imeMode="off" allowBlank="1" showInputMessage="1" showErrorMessage="1" sqref="E16:E17 G25 G27:G33"/>
    <dataValidation type="list" errorStyle="warning" imeMode="off" operator="greaterThanOrEqual" allowBlank="1" showInputMessage="1" showErrorMessage="1" errorTitle="保証年数を確認ください。" error="「家庭用蓄電池」の場合、保証年数は１０年以上が補助対象となります。" sqref="E20">
      <formula1>"－,10年,11年,12年,13年,14年,15年以上"</formula1>
    </dataValidation>
    <dataValidation type="list" imeMode="off" allowBlank="1" showInputMessage="1" showErrorMessage="1" errorTitle="入力はプルダウンに従ってください。" error="第１号事業の場合は、地方公共団体「１」または非営利法人「２」、第６号事業の場合は民間企業等「３」が申請者となります。" sqref="H10">
      <formula1>INDIRECT($K$9)</formula1>
    </dataValidation>
    <dataValidation type="list" imeMode="off" allowBlank="1" showInputMessage="1" showErrorMessage="1" errorTitle="入力はプルダウンに従ってください" error="第１号事業の場合は「１」、第６号事業の場合は「６」を入力ください。" sqref="H9">
      <formula1>"1,6"</formula1>
    </dataValidation>
    <dataValidation imeMode="on" allowBlank="1" showInputMessage="1" showErrorMessage="1" sqref="D4:F4 D5:F5"/>
  </dataValidations>
  <pageMargins left="0.70866141732283472" right="0.70866141732283472" top="0.74803149606299213" bottom="0.74803149606299213" header="0.31496062992125984" footer="0.31496062992125984"/>
  <pageSetup paperSize="9" scale="84" fitToHeight="0" orientation="portrait" r:id="rId1"/>
  <rowBreaks count="1" manualBreakCount="1">
    <brk id="71"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別紙９改訂20170521</vt:lpstr>
      <vt:lpstr>別紙９改訂20170521!Print_Area</vt:lpstr>
      <vt:lpstr>別紙９改訂20170521!第1号</vt:lpstr>
      <vt:lpstr>別紙９改訂20170521!第6号</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2017-05-02T07:09:05Z</dcterms:created>
  <dcterms:modified xsi:type="dcterms:W3CDTF">2017-07-28T01:10:30Z</dcterms:modified>
</cp:coreProperties>
</file>